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ivandenakker\Desktop\DuurzaamCirculair\Documenten op website\"/>
    </mc:Choice>
  </mc:AlternateContent>
  <xr:revisionPtr revIDLastSave="0" documentId="8_{0B4C3F84-39C4-4B76-BAAD-C541EFAFAC2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CO2-emissie-inventaris" sheetId="1" r:id="rId1"/>
    <sheet name="CO2-voortgang" sheetId="4" r:id="rId2"/>
    <sheet name="Data" sheetId="3" r:id="rId3"/>
    <sheet name="Omrekening naar GJ" sheetId="7" r:id="rId4"/>
    <sheet name="Energiebeoordelingen" sheetId="6" r:id="rId5"/>
    <sheet name="Input keuzevariabelen" sheetId="2" r:id="rId6"/>
  </sheets>
  <definedNames>
    <definedName name="_xlnm._FilterDatabase" localSheetId="0" hidden="1">Data!$B$3:$O$277</definedName>
    <definedName name="_xlnm._FilterDatabase" localSheetId="1" hidden="1">Data!$B$3:$O$277</definedName>
    <definedName name="_xlnm._FilterDatabase" localSheetId="2" hidden="1">Data!$A$3:$S$277</definedName>
    <definedName name="_xlnm._FilterDatabase" localSheetId="5" hidden="1">'Input keuzevariabelen'!$B$3:$B$17</definedName>
    <definedName name="Lijst_Inkoop">OFFSET(#REF!,,,COUNTIF(#REF!,"?*"))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1" i="3" l="1"/>
  <c r="L241" i="3"/>
  <c r="K241" i="3"/>
  <c r="J241" i="3"/>
  <c r="F241" i="3"/>
  <c r="C241" i="3"/>
  <c r="H240" i="3"/>
  <c r="C240" i="3"/>
  <c r="F240" i="3"/>
  <c r="J240" i="3"/>
  <c r="K240" i="3"/>
  <c r="L240" i="3"/>
  <c r="H257" i="3"/>
  <c r="H243" i="3"/>
  <c r="H246" i="3"/>
  <c r="H247" i="3"/>
  <c r="H248" i="3"/>
  <c r="H249" i="3"/>
  <c r="H250" i="3"/>
  <c r="H253" i="3"/>
  <c r="H254" i="3"/>
  <c r="H255" i="3"/>
  <c r="H256" i="3"/>
  <c r="H242" i="3"/>
  <c r="I16" i="4"/>
  <c r="I23" i="4"/>
  <c r="C238" i="3"/>
  <c r="I238" i="3" s="1"/>
  <c r="F238" i="3"/>
  <c r="J238" i="3"/>
  <c r="K238" i="3"/>
  <c r="L238" i="3"/>
  <c r="Q238" i="3"/>
  <c r="E10" i="7"/>
  <c r="E11" i="7"/>
  <c r="E12" i="7"/>
  <c r="E13" i="7"/>
  <c r="E14" i="7"/>
  <c r="E15" i="7"/>
  <c r="I241" i="3" l="1"/>
  <c r="M241" i="3"/>
  <c r="I240" i="3"/>
  <c r="M240" i="3" s="1"/>
  <c r="I24" i="4"/>
  <c r="R238" i="3"/>
  <c r="M238" i="3"/>
  <c r="F261" i="3"/>
  <c r="C261" i="3"/>
  <c r="F260" i="3"/>
  <c r="C260" i="3"/>
  <c r="F259" i="3"/>
  <c r="C259" i="3"/>
  <c r="F258" i="3"/>
  <c r="C258" i="3"/>
  <c r="F257" i="3"/>
  <c r="C257" i="3"/>
  <c r="F256" i="3"/>
  <c r="C256" i="3"/>
  <c r="F255" i="3"/>
  <c r="C255" i="3"/>
  <c r="F254" i="3"/>
  <c r="C254" i="3"/>
  <c r="F253" i="3"/>
  <c r="C253" i="3"/>
  <c r="F252" i="3"/>
  <c r="C252" i="3"/>
  <c r="F251" i="3"/>
  <c r="C251" i="3"/>
  <c r="F250" i="3"/>
  <c r="C250" i="3"/>
  <c r="F249" i="3"/>
  <c r="C249" i="3"/>
  <c r="F248" i="3"/>
  <c r="C248" i="3"/>
  <c r="F247" i="3"/>
  <c r="C247" i="3"/>
  <c r="F246" i="3"/>
  <c r="C246" i="3"/>
  <c r="F245" i="3"/>
  <c r="C245" i="3"/>
  <c r="F244" i="3"/>
  <c r="C244" i="3"/>
  <c r="F243" i="3"/>
  <c r="C243" i="3"/>
  <c r="F242" i="3"/>
  <c r="C242" i="3"/>
  <c r="I130" i="2" l="1"/>
  <c r="I129" i="2"/>
  <c r="I119" i="2"/>
  <c r="K226" i="3" l="1"/>
  <c r="K228" i="3"/>
  <c r="K229" i="3"/>
  <c r="K230" i="3"/>
  <c r="K231" i="3"/>
  <c r="K232" i="3"/>
  <c r="K233" i="3"/>
  <c r="K234" i="3"/>
  <c r="K235" i="3"/>
  <c r="K236" i="3"/>
  <c r="K237" i="3"/>
  <c r="K239" i="3"/>
  <c r="J227" i="3" l="1"/>
  <c r="C228" i="3" l="1"/>
  <c r="C229" i="3"/>
  <c r="C230" i="3"/>
  <c r="C231" i="3"/>
  <c r="C232" i="3"/>
  <c r="C233" i="3"/>
  <c r="C234" i="3"/>
  <c r="C235" i="3"/>
  <c r="C236" i="3"/>
  <c r="C237" i="3"/>
  <c r="F292" i="3" l="1"/>
  <c r="J186" i="3"/>
  <c r="H226" i="3"/>
  <c r="H260" i="3" s="1"/>
  <c r="H227" i="3"/>
  <c r="H261" i="3" s="1"/>
  <c r="H225" i="3"/>
  <c r="H259" i="3" s="1"/>
  <c r="H224" i="3"/>
  <c r="H258" i="3" s="1"/>
  <c r="C220" i="3"/>
  <c r="C221" i="3"/>
  <c r="I221" i="3" s="1"/>
  <c r="C222" i="3"/>
  <c r="I222" i="3" s="1"/>
  <c r="C223" i="3"/>
  <c r="I223" i="3" s="1"/>
  <c r="C224" i="3"/>
  <c r="C225" i="3"/>
  <c r="I225" i="3" s="1"/>
  <c r="C226" i="3"/>
  <c r="C227" i="3"/>
  <c r="I227" i="3" s="1"/>
  <c r="N210" i="3"/>
  <c r="S210" i="3"/>
  <c r="H211" i="3" s="1"/>
  <c r="H245" i="3" s="1"/>
  <c r="H217" i="3"/>
  <c r="H251" i="3" s="1"/>
  <c r="I224" i="3" l="1"/>
  <c r="I226" i="3"/>
  <c r="H210" i="3"/>
  <c r="H244" i="3" s="1"/>
  <c r="H218" i="3"/>
  <c r="H252" i="3" s="1"/>
  <c r="H185" i="3" l="1"/>
  <c r="Q206" i="3"/>
  <c r="Q205" i="3"/>
  <c r="L206" i="3"/>
  <c r="K206" i="3"/>
  <c r="J206" i="3"/>
  <c r="F206" i="3"/>
  <c r="C206" i="3"/>
  <c r="I206" i="3" s="1"/>
  <c r="L205" i="3"/>
  <c r="K205" i="3"/>
  <c r="J205" i="3"/>
  <c r="F205" i="3"/>
  <c r="C205" i="3"/>
  <c r="I205" i="3" s="1"/>
  <c r="J202" i="3"/>
  <c r="L202" i="3"/>
  <c r="C202" i="3"/>
  <c r="I202" i="3" s="1"/>
  <c r="F202" i="3"/>
  <c r="J180" i="3"/>
  <c r="J181" i="3"/>
  <c r="J182" i="3"/>
  <c r="J183" i="3"/>
  <c r="J184" i="3"/>
  <c r="J185" i="3"/>
  <c r="P180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K186" i="3"/>
  <c r="L186" i="3"/>
  <c r="C186" i="3"/>
  <c r="F186" i="3"/>
  <c r="K180" i="3"/>
  <c r="L180" i="3"/>
  <c r="C180" i="3"/>
  <c r="I180" i="3" s="1"/>
  <c r="F180" i="3"/>
  <c r="Q227" i="3"/>
  <c r="L227" i="3"/>
  <c r="K227" i="3"/>
  <c r="F227" i="3"/>
  <c r="Q226" i="3"/>
  <c r="L226" i="3"/>
  <c r="J226" i="3"/>
  <c r="F226" i="3"/>
  <c r="Q225" i="3"/>
  <c r="L225" i="3"/>
  <c r="K225" i="3"/>
  <c r="J225" i="3"/>
  <c r="F225" i="3"/>
  <c r="Q224" i="3"/>
  <c r="L224" i="3"/>
  <c r="K224" i="3"/>
  <c r="J224" i="3"/>
  <c r="F224" i="3"/>
  <c r="Q223" i="3"/>
  <c r="L223" i="3"/>
  <c r="J223" i="3"/>
  <c r="F223" i="3"/>
  <c r="Q222" i="3"/>
  <c r="L222" i="3"/>
  <c r="K222" i="3"/>
  <c r="J222" i="3"/>
  <c r="F222" i="3"/>
  <c r="Q221" i="3"/>
  <c r="L221" i="3"/>
  <c r="K221" i="3"/>
  <c r="J221" i="3"/>
  <c r="F221" i="3"/>
  <c r="Q220" i="3"/>
  <c r="L220" i="3"/>
  <c r="K220" i="3"/>
  <c r="J220" i="3"/>
  <c r="F220" i="3"/>
  <c r="I220" i="3"/>
  <c r="Q219" i="3"/>
  <c r="L219" i="3"/>
  <c r="K219" i="3"/>
  <c r="J219" i="3"/>
  <c r="F219" i="3"/>
  <c r="C219" i="3"/>
  <c r="I219" i="3" s="1"/>
  <c r="Q218" i="3"/>
  <c r="L218" i="3"/>
  <c r="K218" i="3"/>
  <c r="J218" i="3"/>
  <c r="F218" i="3"/>
  <c r="C218" i="3"/>
  <c r="I218" i="3" s="1"/>
  <c r="Q217" i="3"/>
  <c r="L217" i="3"/>
  <c r="K217" i="3"/>
  <c r="J217" i="3"/>
  <c r="F217" i="3"/>
  <c r="C217" i="3"/>
  <c r="I217" i="3" s="1"/>
  <c r="Q216" i="3"/>
  <c r="L216" i="3"/>
  <c r="K216" i="3"/>
  <c r="J216" i="3"/>
  <c r="F216" i="3"/>
  <c r="C216" i="3"/>
  <c r="I216" i="3" s="1"/>
  <c r="Q215" i="3"/>
  <c r="L215" i="3"/>
  <c r="K215" i="3"/>
  <c r="J215" i="3"/>
  <c r="F215" i="3"/>
  <c r="C215" i="3"/>
  <c r="I215" i="3" s="1"/>
  <c r="Q214" i="3"/>
  <c r="L214" i="3"/>
  <c r="J214" i="3"/>
  <c r="F214" i="3"/>
  <c r="C214" i="3"/>
  <c r="I214" i="3" s="1"/>
  <c r="Q213" i="3"/>
  <c r="L213" i="3"/>
  <c r="K213" i="3"/>
  <c r="J213" i="3"/>
  <c r="F213" i="3"/>
  <c r="C213" i="3"/>
  <c r="I213" i="3" s="1"/>
  <c r="Q212" i="3"/>
  <c r="L212" i="3"/>
  <c r="K212" i="3"/>
  <c r="J212" i="3"/>
  <c r="F212" i="3"/>
  <c r="C212" i="3"/>
  <c r="I212" i="3" s="1"/>
  <c r="Q211" i="3"/>
  <c r="L211" i="3"/>
  <c r="K211" i="3"/>
  <c r="J211" i="3"/>
  <c r="F211" i="3"/>
  <c r="C211" i="3"/>
  <c r="I211" i="3" s="1"/>
  <c r="Q210" i="3"/>
  <c r="L210" i="3"/>
  <c r="K210" i="3"/>
  <c r="J210" i="3"/>
  <c r="F210" i="3"/>
  <c r="C210" i="3"/>
  <c r="I210" i="3" s="1"/>
  <c r="Q209" i="3"/>
  <c r="L209" i="3"/>
  <c r="K209" i="3"/>
  <c r="J209" i="3"/>
  <c r="F209" i="3"/>
  <c r="C209" i="3"/>
  <c r="I209" i="3" s="1"/>
  <c r="Q208" i="3"/>
  <c r="L208" i="3"/>
  <c r="K208" i="3"/>
  <c r="J208" i="3"/>
  <c r="F208" i="3"/>
  <c r="C208" i="3"/>
  <c r="I208" i="3" s="1"/>
  <c r="Q207" i="3"/>
  <c r="L207" i="3"/>
  <c r="K207" i="3"/>
  <c r="J207" i="3"/>
  <c r="F207" i="3"/>
  <c r="C207" i="3"/>
  <c r="I207" i="3" s="1"/>
  <c r="Q204" i="3"/>
  <c r="L204" i="3"/>
  <c r="K204" i="3"/>
  <c r="J204" i="3"/>
  <c r="F204" i="3"/>
  <c r="C204" i="3"/>
  <c r="I204" i="3" s="1"/>
  <c r="Q203" i="3"/>
  <c r="L203" i="3"/>
  <c r="K203" i="3"/>
  <c r="J203" i="3"/>
  <c r="F203" i="3"/>
  <c r="C203" i="3"/>
  <c r="I203" i="3" s="1"/>
  <c r="Q201" i="3"/>
  <c r="L201" i="3"/>
  <c r="K201" i="3"/>
  <c r="J201" i="3"/>
  <c r="F201" i="3"/>
  <c r="C201" i="3"/>
  <c r="I201" i="3" s="1"/>
  <c r="Q200" i="3"/>
  <c r="L200" i="3"/>
  <c r="K200" i="3"/>
  <c r="J200" i="3"/>
  <c r="F200" i="3"/>
  <c r="C200" i="3"/>
  <c r="I200" i="3" s="1"/>
  <c r="Q199" i="3"/>
  <c r="L199" i="3"/>
  <c r="K199" i="3"/>
  <c r="J199" i="3"/>
  <c r="F199" i="3"/>
  <c r="C199" i="3"/>
  <c r="I199" i="3" s="1"/>
  <c r="Q198" i="3"/>
  <c r="L198" i="3"/>
  <c r="K198" i="3"/>
  <c r="J198" i="3"/>
  <c r="F198" i="3"/>
  <c r="C198" i="3"/>
  <c r="I198" i="3" s="1"/>
  <c r="Q197" i="3"/>
  <c r="L197" i="3"/>
  <c r="K197" i="3"/>
  <c r="J197" i="3"/>
  <c r="F197" i="3"/>
  <c r="C197" i="3"/>
  <c r="I197" i="3" s="1"/>
  <c r="Q196" i="3"/>
  <c r="L196" i="3"/>
  <c r="K196" i="3"/>
  <c r="J196" i="3"/>
  <c r="F196" i="3"/>
  <c r="C196" i="3"/>
  <c r="I196" i="3" s="1"/>
  <c r="Q195" i="3"/>
  <c r="L195" i="3"/>
  <c r="K195" i="3"/>
  <c r="J195" i="3"/>
  <c r="F195" i="3"/>
  <c r="C195" i="3"/>
  <c r="I195" i="3" s="1"/>
  <c r="Q194" i="3"/>
  <c r="L194" i="3"/>
  <c r="K194" i="3"/>
  <c r="J194" i="3"/>
  <c r="F194" i="3"/>
  <c r="C194" i="3"/>
  <c r="I194" i="3" s="1"/>
  <c r="Q193" i="3"/>
  <c r="L193" i="3"/>
  <c r="K193" i="3"/>
  <c r="J193" i="3"/>
  <c r="F193" i="3"/>
  <c r="C193" i="3"/>
  <c r="I193" i="3" s="1"/>
  <c r="L192" i="3"/>
  <c r="K192" i="3"/>
  <c r="J192" i="3"/>
  <c r="F192" i="3"/>
  <c r="C192" i="3"/>
  <c r="I192" i="3" s="1"/>
  <c r="L191" i="3"/>
  <c r="K191" i="3"/>
  <c r="J191" i="3"/>
  <c r="F191" i="3"/>
  <c r="C191" i="3"/>
  <c r="I191" i="3" s="1"/>
  <c r="L190" i="3"/>
  <c r="K190" i="3"/>
  <c r="J190" i="3"/>
  <c r="F190" i="3"/>
  <c r="C190" i="3"/>
  <c r="I190" i="3" s="1"/>
  <c r="L189" i="3"/>
  <c r="K189" i="3"/>
  <c r="J189" i="3"/>
  <c r="J178" i="3" s="1"/>
  <c r="F189" i="3"/>
  <c r="C189" i="3"/>
  <c r="I189" i="3" s="1"/>
  <c r="L188" i="3"/>
  <c r="K188" i="3"/>
  <c r="J188" i="3"/>
  <c r="F188" i="3"/>
  <c r="C188" i="3"/>
  <c r="I188" i="3" s="1"/>
  <c r="L187" i="3"/>
  <c r="K187" i="3"/>
  <c r="M187" i="3" s="1"/>
  <c r="J187" i="3"/>
  <c r="F187" i="3"/>
  <c r="C187" i="3"/>
  <c r="I186" i="3" s="1"/>
  <c r="L185" i="3"/>
  <c r="K185" i="3"/>
  <c r="F185" i="3"/>
  <c r="C185" i="3"/>
  <c r="L184" i="3"/>
  <c r="K184" i="3"/>
  <c r="F184" i="3"/>
  <c r="C184" i="3"/>
  <c r="I184" i="3" s="1"/>
  <c r="L183" i="3"/>
  <c r="K183" i="3"/>
  <c r="F183" i="3"/>
  <c r="C183" i="3"/>
  <c r="I183" i="3" s="1"/>
  <c r="L182" i="3"/>
  <c r="K182" i="3"/>
  <c r="F182" i="3"/>
  <c r="C182" i="3"/>
  <c r="I182" i="3" s="1"/>
  <c r="L181" i="3"/>
  <c r="K181" i="3"/>
  <c r="F181" i="3"/>
  <c r="C181" i="3"/>
  <c r="I181" i="3" s="1"/>
  <c r="L179" i="3"/>
  <c r="K179" i="3"/>
  <c r="J179" i="3"/>
  <c r="F179" i="3"/>
  <c r="C179" i="3"/>
  <c r="I179" i="3" s="1"/>
  <c r="L178" i="3"/>
  <c r="K178" i="3"/>
  <c r="F178" i="3"/>
  <c r="C178" i="3"/>
  <c r="I178" i="3" s="1"/>
  <c r="C25" i="1" l="1"/>
  <c r="J25" i="1"/>
  <c r="P186" i="3"/>
  <c r="M186" i="3"/>
  <c r="R226" i="3"/>
  <c r="R225" i="3"/>
  <c r="R224" i="3"/>
  <c r="R223" i="3"/>
  <c r="R222" i="3"/>
  <c r="R221" i="3"/>
  <c r="I185" i="3"/>
  <c r="M185" i="3" s="1"/>
  <c r="R205" i="3"/>
  <c r="R206" i="3"/>
  <c r="M206" i="3"/>
  <c r="M205" i="3"/>
  <c r="M180" i="3"/>
  <c r="M184" i="3"/>
  <c r="M188" i="3"/>
  <c r="R196" i="3"/>
  <c r="R208" i="3"/>
  <c r="R200" i="3"/>
  <c r="R207" i="3"/>
  <c r="R192" i="3"/>
  <c r="R214" i="3"/>
  <c r="R197" i="3"/>
  <c r="R217" i="3"/>
  <c r="R216" i="3"/>
  <c r="R190" i="3"/>
  <c r="R199" i="3"/>
  <c r="M183" i="3"/>
  <c r="R189" i="3"/>
  <c r="M190" i="3"/>
  <c r="R213" i="3"/>
  <c r="R183" i="3"/>
  <c r="R219" i="3"/>
  <c r="M189" i="3"/>
  <c r="M208" i="3"/>
  <c r="M200" i="3"/>
  <c r="M207" i="3"/>
  <c r="M217" i="3"/>
  <c r="R178" i="3"/>
  <c r="M178" i="3"/>
  <c r="R193" i="3"/>
  <c r="R182" i="3"/>
  <c r="M182" i="3"/>
  <c r="R198" i="3"/>
  <c r="M198" i="3"/>
  <c r="R204" i="3"/>
  <c r="M204" i="3"/>
  <c r="R191" i="3"/>
  <c r="M191" i="3"/>
  <c r="M203" i="3"/>
  <c r="R203" i="3"/>
  <c r="R181" i="3"/>
  <c r="M181" i="3"/>
  <c r="M195" i="3"/>
  <c r="R195" i="3"/>
  <c r="R220" i="3"/>
  <c r="M220" i="3"/>
  <c r="R187" i="3"/>
  <c r="R184" i="3"/>
  <c r="R194" i="3"/>
  <c r="R201" i="3"/>
  <c r="M201" i="3"/>
  <c r="M211" i="3"/>
  <c r="R211" i="3"/>
  <c r="R227" i="3"/>
  <c r="M227" i="3"/>
  <c r="M212" i="3"/>
  <c r="R212" i="3"/>
  <c r="R179" i="3"/>
  <c r="M179" i="3"/>
  <c r="R188" i="3"/>
  <c r="R209" i="3"/>
  <c r="M209" i="3"/>
  <c r="R210" i="3"/>
  <c r="M210" i="3"/>
  <c r="R215" i="3"/>
  <c r="M215" i="3"/>
  <c r="R218" i="3"/>
  <c r="M218" i="3"/>
  <c r="M213" i="3"/>
  <c r="M219" i="3"/>
  <c r="M199" i="3"/>
  <c r="M216" i="3"/>
  <c r="H161" i="3"/>
  <c r="C174" i="3"/>
  <c r="C175" i="3"/>
  <c r="C176" i="3"/>
  <c r="C177" i="3"/>
  <c r="H175" i="3"/>
  <c r="H172" i="3"/>
  <c r="H171" i="3"/>
  <c r="H170" i="3"/>
  <c r="F25" i="1" l="1"/>
  <c r="M25" i="1"/>
  <c r="M225" i="3"/>
  <c r="M224" i="3"/>
  <c r="M226" i="3"/>
  <c r="M222" i="3"/>
  <c r="M221" i="3"/>
  <c r="R185" i="3"/>
  <c r="H130" i="3"/>
  <c r="H168" i="3" l="1"/>
  <c r="H167" i="3"/>
  <c r="C34" i="1" l="1"/>
  <c r="C33" i="1"/>
  <c r="I30" i="2"/>
  <c r="H129" i="3"/>
  <c r="H128" i="3"/>
  <c r="H127" i="3"/>
  <c r="H126" i="3"/>
  <c r="H125" i="3"/>
  <c r="H124" i="3"/>
  <c r="H123" i="3"/>
  <c r="H122" i="3"/>
  <c r="H121" i="3"/>
  <c r="H160" i="3" s="1"/>
  <c r="H120" i="3"/>
  <c r="H119" i="3"/>
  <c r="H137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2" i="3"/>
  <c r="H4" i="3"/>
  <c r="I96" i="2" l="1"/>
  <c r="I13" i="7"/>
  <c r="I15" i="7"/>
  <c r="C5" i="3"/>
  <c r="I5" i="3" s="1"/>
  <c r="C6" i="3"/>
  <c r="I6" i="3" s="1"/>
  <c r="C7" i="3"/>
  <c r="I7" i="3" s="1"/>
  <c r="C8" i="3"/>
  <c r="I8" i="3" s="1"/>
  <c r="C9" i="3"/>
  <c r="I9" i="3" s="1"/>
  <c r="C10" i="3"/>
  <c r="I10" i="3" s="1"/>
  <c r="C11" i="3"/>
  <c r="I11" i="3" s="1"/>
  <c r="C12" i="3"/>
  <c r="I12" i="3" s="1"/>
  <c r="C13" i="3"/>
  <c r="I13" i="3" s="1"/>
  <c r="C14" i="3"/>
  <c r="I14" i="3" s="1"/>
  <c r="C15" i="3"/>
  <c r="I15" i="3" s="1"/>
  <c r="C16" i="3"/>
  <c r="I16" i="3" s="1"/>
  <c r="C17" i="3"/>
  <c r="I17" i="3" s="1"/>
  <c r="C18" i="3"/>
  <c r="I18" i="3" s="1"/>
  <c r="C19" i="3"/>
  <c r="I19" i="3" s="1"/>
  <c r="C20" i="3"/>
  <c r="I20" i="3" s="1"/>
  <c r="C21" i="3"/>
  <c r="I21" i="3" s="1"/>
  <c r="C22" i="3"/>
  <c r="I22" i="3" s="1"/>
  <c r="C23" i="3"/>
  <c r="I23" i="3" s="1"/>
  <c r="C24" i="3"/>
  <c r="I24" i="3" s="1"/>
  <c r="C25" i="3"/>
  <c r="I25" i="3" s="1"/>
  <c r="C26" i="3"/>
  <c r="I26" i="3" s="1"/>
  <c r="C27" i="3"/>
  <c r="I27" i="3" s="1"/>
  <c r="C28" i="3"/>
  <c r="I28" i="3" s="1"/>
  <c r="C29" i="3"/>
  <c r="I29" i="3" s="1"/>
  <c r="J20" i="1" s="1"/>
  <c r="C30" i="3"/>
  <c r="I30" i="3" s="1"/>
  <c r="C31" i="3"/>
  <c r="I31" i="3" s="1"/>
  <c r="C32" i="3"/>
  <c r="I32" i="3" s="1"/>
  <c r="C33" i="3"/>
  <c r="I33" i="3" s="1"/>
  <c r="J26" i="1" s="1"/>
  <c r="C34" i="3"/>
  <c r="I34" i="3" s="1"/>
  <c r="J27" i="1" s="1"/>
  <c r="C35" i="3"/>
  <c r="I35" i="3" s="1"/>
  <c r="C36" i="3"/>
  <c r="I36" i="3" s="1"/>
  <c r="C37" i="3"/>
  <c r="I37" i="3" s="1"/>
  <c r="C38" i="3"/>
  <c r="I38" i="3" s="1"/>
  <c r="C39" i="3"/>
  <c r="I39" i="3" s="1"/>
  <c r="C40" i="3"/>
  <c r="I40" i="3" s="1"/>
  <c r="C41" i="3"/>
  <c r="I41" i="3" s="1"/>
  <c r="C42" i="3"/>
  <c r="I42" i="3" s="1"/>
  <c r="C43" i="3"/>
  <c r="I43" i="3" s="1"/>
  <c r="C44" i="3"/>
  <c r="I44" i="3" s="1"/>
  <c r="C45" i="3"/>
  <c r="I45" i="3" s="1"/>
  <c r="C46" i="3"/>
  <c r="I46" i="3" s="1"/>
  <c r="C47" i="3"/>
  <c r="I47" i="3" s="1"/>
  <c r="C48" i="3"/>
  <c r="I48" i="3" s="1"/>
  <c r="C49" i="3"/>
  <c r="I49" i="3" s="1"/>
  <c r="C50" i="3"/>
  <c r="I50" i="3" s="1"/>
  <c r="C51" i="3"/>
  <c r="I51" i="3" s="1"/>
  <c r="C52" i="3"/>
  <c r="I52" i="3" s="1"/>
  <c r="C53" i="3"/>
  <c r="I53" i="3" s="1"/>
  <c r="C54" i="3"/>
  <c r="I54" i="3" s="1"/>
  <c r="C55" i="3"/>
  <c r="I55" i="3" s="1"/>
  <c r="C56" i="3"/>
  <c r="I56" i="3" s="1"/>
  <c r="C57" i="3"/>
  <c r="I57" i="3" s="1"/>
  <c r="C58" i="3"/>
  <c r="I58" i="3" s="1"/>
  <c r="C59" i="3"/>
  <c r="I59" i="3" s="1"/>
  <c r="C60" i="3"/>
  <c r="I60" i="3" s="1"/>
  <c r="C61" i="3"/>
  <c r="I61" i="3" s="1"/>
  <c r="C62" i="3"/>
  <c r="I62" i="3" s="1"/>
  <c r="C63" i="3"/>
  <c r="I63" i="3" s="1"/>
  <c r="C64" i="3"/>
  <c r="I64" i="3" s="1"/>
  <c r="C65" i="3"/>
  <c r="I65" i="3" s="1"/>
  <c r="C66" i="3"/>
  <c r="I66" i="3" s="1"/>
  <c r="C67" i="3"/>
  <c r="I67" i="3" s="1"/>
  <c r="C68" i="3"/>
  <c r="I68" i="3" s="1"/>
  <c r="C69" i="3"/>
  <c r="I69" i="3" s="1"/>
  <c r="C70" i="3"/>
  <c r="I70" i="3" s="1"/>
  <c r="C71" i="3"/>
  <c r="I71" i="3" s="1"/>
  <c r="C72" i="3"/>
  <c r="I72" i="3" s="1"/>
  <c r="C73" i="3"/>
  <c r="I73" i="3" s="1"/>
  <c r="C74" i="3"/>
  <c r="I74" i="3" s="1"/>
  <c r="C75" i="3"/>
  <c r="I75" i="3" s="1"/>
  <c r="C76" i="3"/>
  <c r="I76" i="3" s="1"/>
  <c r="C77" i="3"/>
  <c r="I77" i="3" s="1"/>
  <c r="C78" i="3"/>
  <c r="I78" i="3" s="1"/>
  <c r="C79" i="3"/>
  <c r="I79" i="3" s="1"/>
  <c r="C80" i="3"/>
  <c r="I80" i="3" s="1"/>
  <c r="C81" i="3"/>
  <c r="I81" i="3" s="1"/>
  <c r="C82" i="3"/>
  <c r="I82" i="3" s="1"/>
  <c r="C83" i="3"/>
  <c r="I83" i="3" s="1"/>
  <c r="C84" i="3"/>
  <c r="I84" i="3" s="1"/>
  <c r="C85" i="3"/>
  <c r="I85" i="3" s="1"/>
  <c r="C86" i="3"/>
  <c r="I86" i="3" s="1"/>
  <c r="C87" i="3"/>
  <c r="I87" i="3" s="1"/>
  <c r="C88" i="3"/>
  <c r="I88" i="3" s="1"/>
  <c r="C89" i="3"/>
  <c r="I89" i="3" s="1"/>
  <c r="C90" i="3"/>
  <c r="I90" i="3" s="1"/>
  <c r="C91" i="3"/>
  <c r="I91" i="3" s="1"/>
  <c r="C92" i="3"/>
  <c r="I92" i="3" s="1"/>
  <c r="C93" i="3"/>
  <c r="I93" i="3" s="1"/>
  <c r="C94" i="3"/>
  <c r="I94" i="3" s="1"/>
  <c r="C95" i="3"/>
  <c r="I95" i="3" s="1"/>
  <c r="C96" i="3"/>
  <c r="I96" i="3" s="1"/>
  <c r="C97" i="3"/>
  <c r="I97" i="3" s="1"/>
  <c r="C98" i="3"/>
  <c r="I98" i="3" s="1"/>
  <c r="C99" i="3"/>
  <c r="I99" i="3" s="1"/>
  <c r="C100" i="3"/>
  <c r="I100" i="3" s="1"/>
  <c r="C101" i="3"/>
  <c r="I101" i="3" s="1"/>
  <c r="C102" i="3"/>
  <c r="I102" i="3" s="1"/>
  <c r="C103" i="3"/>
  <c r="I103" i="3" s="1"/>
  <c r="C104" i="3"/>
  <c r="I104" i="3" s="1"/>
  <c r="C105" i="3"/>
  <c r="I105" i="3" s="1"/>
  <c r="C106" i="3"/>
  <c r="I106" i="3" s="1"/>
  <c r="C107" i="3"/>
  <c r="I107" i="3" s="1"/>
  <c r="C108" i="3"/>
  <c r="I108" i="3" s="1"/>
  <c r="C109" i="3"/>
  <c r="I109" i="3" s="1"/>
  <c r="C110" i="3"/>
  <c r="I110" i="3" s="1"/>
  <c r="C111" i="3"/>
  <c r="I111" i="3" s="1"/>
  <c r="C112" i="3"/>
  <c r="I112" i="3" s="1"/>
  <c r="C113" i="3"/>
  <c r="I113" i="3" s="1"/>
  <c r="C114" i="3"/>
  <c r="I114" i="3" s="1"/>
  <c r="C115" i="3"/>
  <c r="I115" i="3" s="1"/>
  <c r="C116" i="3"/>
  <c r="I116" i="3" s="1"/>
  <c r="C117" i="3"/>
  <c r="I117" i="3" s="1"/>
  <c r="C118" i="3"/>
  <c r="I118" i="3" s="1"/>
  <c r="C119" i="3"/>
  <c r="I119" i="3" s="1"/>
  <c r="C120" i="3"/>
  <c r="I120" i="3" s="1"/>
  <c r="C121" i="3"/>
  <c r="I121" i="3" s="1"/>
  <c r="C122" i="3"/>
  <c r="I122" i="3" s="1"/>
  <c r="C123" i="3"/>
  <c r="I123" i="3" s="1"/>
  <c r="C124" i="3"/>
  <c r="I124" i="3" s="1"/>
  <c r="C125" i="3"/>
  <c r="I125" i="3" s="1"/>
  <c r="C126" i="3"/>
  <c r="I126" i="3" s="1"/>
  <c r="C127" i="3"/>
  <c r="I127" i="3" s="1"/>
  <c r="C128" i="3"/>
  <c r="I128" i="3" s="1"/>
  <c r="C129" i="3"/>
  <c r="I129" i="3" s="1"/>
  <c r="C130" i="3"/>
  <c r="I130" i="3" s="1"/>
  <c r="C131" i="3"/>
  <c r="I131" i="3" s="1"/>
  <c r="C132" i="3"/>
  <c r="I132" i="3" s="1"/>
  <c r="C133" i="3"/>
  <c r="I133" i="3" s="1"/>
  <c r="C134" i="3"/>
  <c r="I134" i="3" s="1"/>
  <c r="C135" i="3"/>
  <c r="I135" i="3" s="1"/>
  <c r="C136" i="3"/>
  <c r="I136" i="3" s="1"/>
  <c r="C137" i="3"/>
  <c r="I137" i="3" s="1"/>
  <c r="C138" i="3"/>
  <c r="I138" i="3" s="1"/>
  <c r="C139" i="3"/>
  <c r="I139" i="3" s="1"/>
  <c r="C140" i="3"/>
  <c r="I140" i="3" s="1"/>
  <c r="C141" i="3"/>
  <c r="I141" i="3" s="1"/>
  <c r="C142" i="3"/>
  <c r="I142" i="3" s="1"/>
  <c r="C143" i="3"/>
  <c r="I143" i="3" s="1"/>
  <c r="C144" i="3"/>
  <c r="I144" i="3" s="1"/>
  <c r="C145" i="3"/>
  <c r="I145" i="3" s="1"/>
  <c r="C146" i="3"/>
  <c r="I146" i="3" s="1"/>
  <c r="C147" i="3"/>
  <c r="I147" i="3" s="1"/>
  <c r="C148" i="3"/>
  <c r="I148" i="3" s="1"/>
  <c r="C149" i="3"/>
  <c r="I149" i="3" s="1"/>
  <c r="C150" i="3"/>
  <c r="I150" i="3" s="1"/>
  <c r="C151" i="3"/>
  <c r="I151" i="3" s="1"/>
  <c r="C152" i="3"/>
  <c r="I152" i="3" s="1"/>
  <c r="C153" i="3"/>
  <c r="I153" i="3" s="1"/>
  <c r="C154" i="3"/>
  <c r="I154" i="3" s="1"/>
  <c r="C155" i="3"/>
  <c r="I155" i="3" s="1"/>
  <c r="C156" i="3"/>
  <c r="I156" i="3" s="1"/>
  <c r="C157" i="3"/>
  <c r="I157" i="3" s="1"/>
  <c r="C158" i="3"/>
  <c r="I158" i="3" s="1"/>
  <c r="C159" i="3"/>
  <c r="I159" i="3" s="1"/>
  <c r="C160" i="3"/>
  <c r="I160" i="3" s="1"/>
  <c r="C161" i="3"/>
  <c r="I161" i="3" s="1"/>
  <c r="C13" i="7" s="1"/>
  <c r="C162" i="3"/>
  <c r="I162" i="3" s="1"/>
  <c r="C163" i="3"/>
  <c r="I163" i="3" s="1"/>
  <c r="C164" i="3"/>
  <c r="I164" i="3" s="1"/>
  <c r="C15" i="7" s="1"/>
  <c r="C165" i="3"/>
  <c r="I165" i="3" s="1"/>
  <c r="C166" i="3"/>
  <c r="I166" i="3" s="1"/>
  <c r="C167" i="3"/>
  <c r="I167" i="3" s="1"/>
  <c r="C168" i="3"/>
  <c r="I168" i="3" s="1"/>
  <c r="C169" i="3"/>
  <c r="I169" i="3" s="1"/>
  <c r="C170" i="3"/>
  <c r="I170" i="3" s="1"/>
  <c r="C171" i="3"/>
  <c r="I171" i="3" s="1"/>
  <c r="C172" i="3"/>
  <c r="I172" i="3" s="1"/>
  <c r="C173" i="3"/>
  <c r="I173" i="3" s="1"/>
  <c r="I174" i="3"/>
  <c r="I175" i="3"/>
  <c r="I176" i="3"/>
  <c r="C26" i="1" s="1"/>
  <c r="I177" i="3"/>
  <c r="C27" i="1" s="1"/>
  <c r="I228" i="3"/>
  <c r="I229" i="3"/>
  <c r="I230" i="3"/>
  <c r="I231" i="3"/>
  <c r="I232" i="3"/>
  <c r="I233" i="3"/>
  <c r="I234" i="3"/>
  <c r="I235" i="3"/>
  <c r="I236" i="3"/>
  <c r="I237" i="3"/>
  <c r="C239" i="3"/>
  <c r="I239" i="3" s="1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C262" i="3"/>
  <c r="I262" i="3" s="1"/>
  <c r="C263" i="3"/>
  <c r="I263" i="3" s="1"/>
  <c r="C264" i="3"/>
  <c r="I264" i="3" s="1"/>
  <c r="C265" i="3"/>
  <c r="I265" i="3" s="1"/>
  <c r="C266" i="3"/>
  <c r="I266" i="3" s="1"/>
  <c r="C267" i="3"/>
  <c r="I267" i="3" s="1"/>
  <c r="C268" i="3"/>
  <c r="I268" i="3" s="1"/>
  <c r="C269" i="3"/>
  <c r="I269" i="3" s="1"/>
  <c r="C270" i="3"/>
  <c r="I270" i="3" s="1"/>
  <c r="C271" i="3"/>
  <c r="I271" i="3" s="1"/>
  <c r="C272" i="3"/>
  <c r="I272" i="3" s="1"/>
  <c r="C273" i="3"/>
  <c r="I273" i="3" s="1"/>
  <c r="C274" i="3"/>
  <c r="I274" i="3" s="1"/>
  <c r="C275" i="3"/>
  <c r="I275" i="3" s="1"/>
  <c r="C276" i="3"/>
  <c r="I276" i="3" s="1"/>
  <c r="C277" i="3"/>
  <c r="I277" i="3" s="1"/>
  <c r="C4" i="3"/>
  <c r="I4" i="3" s="1"/>
  <c r="C12" i="7" l="1"/>
  <c r="C11" i="7"/>
  <c r="C14" i="7"/>
  <c r="C10" i="7"/>
  <c r="K223" i="3"/>
  <c r="M223" i="3" s="1"/>
  <c r="K202" i="3"/>
  <c r="M202" i="3" s="1"/>
  <c r="K214" i="3"/>
  <c r="M214" i="3" s="1"/>
  <c r="C20" i="1"/>
  <c r="C12" i="1"/>
  <c r="C13" i="1"/>
  <c r="C18" i="1"/>
  <c r="J28" i="1"/>
  <c r="C28" i="1"/>
  <c r="C24" i="1"/>
  <c r="C19" i="1"/>
  <c r="C14" i="1"/>
  <c r="J24" i="1"/>
  <c r="J18" i="1"/>
  <c r="I10" i="7"/>
  <c r="J12" i="1"/>
  <c r="J19" i="1"/>
  <c r="J13" i="1"/>
  <c r="J33" i="1"/>
  <c r="I14" i="7"/>
  <c r="J34" i="1"/>
  <c r="I12" i="7"/>
  <c r="I11" i="7"/>
  <c r="J14" i="1"/>
  <c r="K5" i="3"/>
  <c r="M5" i="3" s="1"/>
  <c r="K6" i="3"/>
  <c r="M6" i="3" s="1"/>
  <c r="K7" i="3"/>
  <c r="M7" i="3" s="1"/>
  <c r="K8" i="3"/>
  <c r="M8" i="3" s="1"/>
  <c r="K9" i="3"/>
  <c r="M9" i="3" s="1"/>
  <c r="K10" i="3"/>
  <c r="M10" i="3" s="1"/>
  <c r="K11" i="3"/>
  <c r="M11" i="3" s="1"/>
  <c r="K12" i="3"/>
  <c r="M12" i="3" s="1"/>
  <c r="K13" i="3"/>
  <c r="M13" i="3" s="1"/>
  <c r="K14" i="3"/>
  <c r="M14" i="3" s="1"/>
  <c r="K15" i="3"/>
  <c r="M15" i="3" s="1"/>
  <c r="K16" i="3"/>
  <c r="M16" i="3" s="1"/>
  <c r="K17" i="3"/>
  <c r="M17" i="3" s="1"/>
  <c r="K18" i="3"/>
  <c r="M18" i="3" s="1"/>
  <c r="K19" i="3"/>
  <c r="K20" i="3"/>
  <c r="K21" i="3"/>
  <c r="K22" i="3"/>
  <c r="K23" i="3"/>
  <c r="K24" i="3"/>
  <c r="K25" i="3"/>
  <c r="K26" i="3"/>
  <c r="M26" i="3" s="1"/>
  <c r="K27" i="3"/>
  <c r="M27" i="3" s="1"/>
  <c r="K28" i="3"/>
  <c r="M28" i="3" s="1"/>
  <c r="K30" i="3"/>
  <c r="M30" i="3" s="1"/>
  <c r="K31" i="3"/>
  <c r="M31" i="3" s="1"/>
  <c r="K32" i="3"/>
  <c r="M32" i="3" s="1"/>
  <c r="K33" i="3"/>
  <c r="M33" i="3" s="1"/>
  <c r="K34" i="3"/>
  <c r="M34" i="3" s="1"/>
  <c r="K35" i="3"/>
  <c r="M35" i="3" s="1"/>
  <c r="K36" i="3"/>
  <c r="M36" i="3" s="1"/>
  <c r="K37" i="3"/>
  <c r="M37" i="3" s="1"/>
  <c r="K38" i="3"/>
  <c r="M38" i="3" s="1"/>
  <c r="K39" i="3"/>
  <c r="M39" i="3" s="1"/>
  <c r="K40" i="3"/>
  <c r="M40" i="3" s="1"/>
  <c r="K41" i="3"/>
  <c r="M41" i="3" s="1"/>
  <c r="K42" i="3"/>
  <c r="M42" i="3" s="1"/>
  <c r="K44" i="3"/>
  <c r="M44" i="3" s="1"/>
  <c r="K45" i="3"/>
  <c r="M45" i="3" s="1"/>
  <c r="K46" i="3"/>
  <c r="M46" i="3" s="1"/>
  <c r="K47" i="3"/>
  <c r="M47" i="3" s="1"/>
  <c r="K48" i="3"/>
  <c r="M48" i="3" s="1"/>
  <c r="K52" i="3"/>
  <c r="M52" i="3" s="1"/>
  <c r="K54" i="3"/>
  <c r="M54" i="3" s="1"/>
  <c r="K56" i="3"/>
  <c r="M56" i="3" s="1"/>
  <c r="K57" i="3"/>
  <c r="M57" i="3" s="1"/>
  <c r="K58" i="3"/>
  <c r="M58" i="3" s="1"/>
  <c r="K59" i="3"/>
  <c r="M59" i="3" s="1"/>
  <c r="K60" i="3"/>
  <c r="M60" i="3" s="1"/>
  <c r="K61" i="3"/>
  <c r="M61" i="3" s="1"/>
  <c r="K62" i="3"/>
  <c r="M62" i="3" s="1"/>
  <c r="K63" i="3"/>
  <c r="M63" i="3" s="1"/>
  <c r="K64" i="3"/>
  <c r="M64" i="3" s="1"/>
  <c r="K65" i="3"/>
  <c r="M65" i="3" s="1"/>
  <c r="K66" i="3"/>
  <c r="M66" i="3" s="1"/>
  <c r="K67" i="3"/>
  <c r="M67" i="3" s="1"/>
  <c r="K68" i="3"/>
  <c r="M68" i="3" s="1"/>
  <c r="K69" i="3"/>
  <c r="M69" i="3" s="1"/>
  <c r="K70" i="3"/>
  <c r="M70" i="3" s="1"/>
  <c r="K71" i="3"/>
  <c r="M71" i="3" s="1"/>
  <c r="K72" i="3"/>
  <c r="M72" i="3" s="1"/>
  <c r="K74" i="3"/>
  <c r="M74" i="3" s="1"/>
  <c r="K75" i="3"/>
  <c r="M75" i="3" s="1"/>
  <c r="K76" i="3"/>
  <c r="M76" i="3" s="1"/>
  <c r="K77" i="3"/>
  <c r="M77" i="3" s="1"/>
  <c r="K78" i="3"/>
  <c r="M78" i="3" s="1"/>
  <c r="K79" i="3"/>
  <c r="M79" i="3" s="1"/>
  <c r="K80" i="3"/>
  <c r="M80" i="3" s="1"/>
  <c r="K83" i="3"/>
  <c r="M83" i="3" s="1"/>
  <c r="K84" i="3"/>
  <c r="M84" i="3" s="1"/>
  <c r="K85" i="3"/>
  <c r="M85" i="3" s="1"/>
  <c r="K88" i="3"/>
  <c r="M88" i="3" s="1"/>
  <c r="K89" i="3"/>
  <c r="M89" i="3" s="1"/>
  <c r="K90" i="3"/>
  <c r="M90" i="3" s="1"/>
  <c r="K91" i="3"/>
  <c r="M91" i="3" s="1"/>
  <c r="K92" i="3"/>
  <c r="M92" i="3" s="1"/>
  <c r="K93" i="3"/>
  <c r="M93" i="3" s="1"/>
  <c r="K94" i="3"/>
  <c r="M94" i="3" s="1"/>
  <c r="K95" i="3"/>
  <c r="M95" i="3" s="1"/>
  <c r="K96" i="3"/>
  <c r="M96" i="3" s="1"/>
  <c r="K97" i="3"/>
  <c r="M97" i="3" s="1"/>
  <c r="K98" i="3"/>
  <c r="M98" i="3" s="1"/>
  <c r="K99" i="3"/>
  <c r="M99" i="3" s="1"/>
  <c r="K100" i="3"/>
  <c r="M100" i="3" s="1"/>
  <c r="K101" i="3"/>
  <c r="M101" i="3" s="1"/>
  <c r="K102" i="3"/>
  <c r="M102" i="3" s="1"/>
  <c r="K103" i="3"/>
  <c r="M103" i="3" s="1"/>
  <c r="K104" i="3"/>
  <c r="M104" i="3" s="1"/>
  <c r="K105" i="3"/>
  <c r="M105" i="3" s="1"/>
  <c r="K106" i="3"/>
  <c r="M106" i="3" s="1"/>
  <c r="K107" i="3"/>
  <c r="M107" i="3" s="1"/>
  <c r="K108" i="3"/>
  <c r="M108" i="3" s="1"/>
  <c r="K109" i="3"/>
  <c r="M109" i="3" s="1"/>
  <c r="K110" i="3"/>
  <c r="M110" i="3" s="1"/>
  <c r="K111" i="3"/>
  <c r="M111" i="3" s="1"/>
  <c r="K112" i="3"/>
  <c r="M112" i="3" s="1"/>
  <c r="K113" i="3"/>
  <c r="M113" i="3" s="1"/>
  <c r="K114" i="3"/>
  <c r="M114" i="3" s="1"/>
  <c r="K115" i="3"/>
  <c r="M115" i="3" s="1"/>
  <c r="K116" i="3"/>
  <c r="M116" i="3" s="1"/>
  <c r="K117" i="3"/>
  <c r="M117" i="3" s="1"/>
  <c r="K118" i="3"/>
  <c r="M118" i="3" s="1"/>
  <c r="K119" i="3"/>
  <c r="M119" i="3" s="1"/>
  <c r="K120" i="3"/>
  <c r="M120" i="3" s="1"/>
  <c r="K121" i="3"/>
  <c r="M121" i="3" s="1"/>
  <c r="K122" i="3"/>
  <c r="M122" i="3" s="1"/>
  <c r="K123" i="3"/>
  <c r="M123" i="3" s="1"/>
  <c r="K124" i="3"/>
  <c r="M124" i="3" s="1"/>
  <c r="K126" i="3"/>
  <c r="M126" i="3" s="1"/>
  <c r="K127" i="3"/>
  <c r="M127" i="3" s="1"/>
  <c r="K128" i="3"/>
  <c r="M128" i="3" s="1"/>
  <c r="K129" i="3"/>
  <c r="M129" i="3" s="1"/>
  <c r="K130" i="3"/>
  <c r="M130" i="3" s="1"/>
  <c r="K131" i="3"/>
  <c r="M131" i="3" s="1"/>
  <c r="K132" i="3"/>
  <c r="M132" i="3" s="1"/>
  <c r="K133" i="3"/>
  <c r="M133" i="3" s="1"/>
  <c r="K134" i="3"/>
  <c r="M134" i="3" s="1"/>
  <c r="K135" i="3"/>
  <c r="M135" i="3" s="1"/>
  <c r="K136" i="3"/>
  <c r="M136" i="3" s="1"/>
  <c r="K137" i="3"/>
  <c r="M137" i="3" s="1"/>
  <c r="K138" i="3"/>
  <c r="M138" i="3" s="1"/>
  <c r="K139" i="3"/>
  <c r="M139" i="3" s="1"/>
  <c r="K140" i="3"/>
  <c r="M140" i="3" s="1"/>
  <c r="K141" i="3"/>
  <c r="M141" i="3" s="1"/>
  <c r="K142" i="3"/>
  <c r="M142" i="3" s="1"/>
  <c r="K143" i="3"/>
  <c r="M143" i="3" s="1"/>
  <c r="K144" i="3"/>
  <c r="M144" i="3" s="1"/>
  <c r="K145" i="3"/>
  <c r="M145" i="3" s="1"/>
  <c r="K146" i="3"/>
  <c r="M146" i="3" s="1"/>
  <c r="K147" i="3"/>
  <c r="M147" i="3" s="1"/>
  <c r="K148" i="3"/>
  <c r="M148" i="3" s="1"/>
  <c r="K149" i="3"/>
  <c r="M149" i="3" s="1"/>
  <c r="K150" i="3"/>
  <c r="M150" i="3" s="1"/>
  <c r="K151" i="3"/>
  <c r="M151" i="3" s="1"/>
  <c r="K152" i="3"/>
  <c r="M152" i="3" s="1"/>
  <c r="K153" i="3"/>
  <c r="M153" i="3" s="1"/>
  <c r="K154" i="3"/>
  <c r="M154" i="3" s="1"/>
  <c r="K155" i="3"/>
  <c r="M155" i="3" s="1"/>
  <c r="K156" i="3"/>
  <c r="M156" i="3" s="1"/>
  <c r="K157" i="3"/>
  <c r="M157" i="3" s="1"/>
  <c r="K158" i="3"/>
  <c r="M158" i="3" s="1"/>
  <c r="K159" i="3"/>
  <c r="M159" i="3" s="1"/>
  <c r="K160" i="3"/>
  <c r="M160" i="3" s="1"/>
  <c r="K161" i="3"/>
  <c r="M161" i="3" s="1"/>
  <c r="K162" i="3"/>
  <c r="M162" i="3" s="1"/>
  <c r="K163" i="3"/>
  <c r="M163" i="3" s="1"/>
  <c r="K165" i="3"/>
  <c r="M165" i="3" s="1"/>
  <c r="K166" i="3"/>
  <c r="M166" i="3" s="1"/>
  <c r="K167" i="3"/>
  <c r="M167" i="3" s="1"/>
  <c r="K168" i="3"/>
  <c r="M168" i="3" s="1"/>
  <c r="K169" i="3"/>
  <c r="M169" i="3" s="1"/>
  <c r="K170" i="3"/>
  <c r="M170" i="3" s="1"/>
  <c r="K171" i="3"/>
  <c r="M171" i="3" s="1"/>
  <c r="K172" i="3"/>
  <c r="M172" i="3" s="1"/>
  <c r="K174" i="3"/>
  <c r="M174" i="3" s="1"/>
  <c r="K175" i="3"/>
  <c r="M175" i="3" s="1"/>
  <c r="K176" i="3"/>
  <c r="M176" i="3" s="1"/>
  <c r="K177" i="3"/>
  <c r="M177" i="3" s="1"/>
  <c r="M228" i="3"/>
  <c r="M229" i="3"/>
  <c r="M230" i="3"/>
  <c r="M231" i="3"/>
  <c r="M232" i="3"/>
  <c r="M233" i="3"/>
  <c r="M234" i="3"/>
  <c r="M235" i="3"/>
  <c r="M236" i="3"/>
  <c r="M237" i="3"/>
  <c r="M239" i="3"/>
  <c r="K242" i="3"/>
  <c r="M242" i="3" s="1"/>
  <c r="K243" i="3"/>
  <c r="M243" i="3" s="1"/>
  <c r="K244" i="3"/>
  <c r="M244" i="3" s="1"/>
  <c r="K245" i="3"/>
  <c r="M245" i="3" s="1"/>
  <c r="K246" i="3"/>
  <c r="M246" i="3" s="1"/>
  <c r="K247" i="3"/>
  <c r="M247" i="3" s="1"/>
  <c r="K248" i="3"/>
  <c r="M248" i="3" s="1"/>
  <c r="K249" i="3"/>
  <c r="M249" i="3" s="1"/>
  <c r="K250" i="3"/>
  <c r="M250" i="3" s="1"/>
  <c r="K251" i="3"/>
  <c r="M251" i="3" s="1"/>
  <c r="K252" i="3"/>
  <c r="M252" i="3" s="1"/>
  <c r="K253" i="3"/>
  <c r="M253" i="3" s="1"/>
  <c r="K254" i="3"/>
  <c r="M254" i="3" s="1"/>
  <c r="K255" i="3"/>
  <c r="M255" i="3" s="1"/>
  <c r="K256" i="3"/>
  <c r="M256" i="3" s="1"/>
  <c r="K257" i="3"/>
  <c r="M257" i="3" s="1"/>
  <c r="K258" i="3"/>
  <c r="M258" i="3" s="1"/>
  <c r="K259" i="3"/>
  <c r="M259" i="3" s="1"/>
  <c r="K260" i="3"/>
  <c r="M260" i="3" s="1"/>
  <c r="K261" i="3"/>
  <c r="M261" i="3" s="1"/>
  <c r="K262" i="3"/>
  <c r="M262" i="3" s="1"/>
  <c r="K263" i="3"/>
  <c r="M263" i="3" s="1"/>
  <c r="K264" i="3"/>
  <c r="M264" i="3" s="1"/>
  <c r="K265" i="3"/>
  <c r="M265" i="3" s="1"/>
  <c r="K266" i="3"/>
  <c r="M266" i="3" s="1"/>
  <c r="K267" i="3"/>
  <c r="M267" i="3" s="1"/>
  <c r="K268" i="3"/>
  <c r="M268" i="3" s="1"/>
  <c r="K269" i="3"/>
  <c r="M269" i="3" s="1"/>
  <c r="K270" i="3"/>
  <c r="M270" i="3" s="1"/>
  <c r="K271" i="3"/>
  <c r="M271" i="3" s="1"/>
  <c r="K272" i="3"/>
  <c r="M272" i="3" s="1"/>
  <c r="K273" i="3"/>
  <c r="M273" i="3" s="1"/>
  <c r="K274" i="3"/>
  <c r="M274" i="3" s="1"/>
  <c r="K275" i="3"/>
  <c r="M275" i="3" s="1"/>
  <c r="K276" i="3"/>
  <c r="M276" i="3" s="1"/>
  <c r="K277" i="3"/>
  <c r="M277" i="3" s="1"/>
  <c r="K4" i="3"/>
  <c r="M4" i="3" s="1"/>
  <c r="W20" i="6"/>
  <c r="W24" i="6" s="1"/>
  <c r="C20" i="6"/>
  <c r="C22" i="6" s="1"/>
  <c r="W3" i="6"/>
  <c r="W13" i="6" s="1"/>
  <c r="C3" i="6"/>
  <c r="C13" i="6" s="1"/>
  <c r="B32" i="4"/>
  <c r="Q5" i="3"/>
  <c r="R5" i="3" s="1"/>
  <c r="Q6" i="3"/>
  <c r="R6" i="3" s="1"/>
  <c r="Q7" i="3"/>
  <c r="R7" i="3" s="1"/>
  <c r="Q8" i="3"/>
  <c r="R8" i="3" s="1"/>
  <c r="Q9" i="3"/>
  <c r="R9" i="3" s="1"/>
  <c r="Q10" i="3"/>
  <c r="R10" i="3" s="1"/>
  <c r="Q11" i="3"/>
  <c r="R11" i="3" s="1"/>
  <c r="Q12" i="3"/>
  <c r="R12" i="3" s="1"/>
  <c r="Q13" i="3"/>
  <c r="R13" i="3" s="1"/>
  <c r="Q14" i="3"/>
  <c r="R14" i="3" s="1"/>
  <c r="Q15" i="3"/>
  <c r="R15" i="3" s="1"/>
  <c r="Q16" i="3"/>
  <c r="R16" i="3" s="1"/>
  <c r="Q17" i="3"/>
  <c r="R17" i="3" s="1"/>
  <c r="Q18" i="3"/>
  <c r="R18" i="3" s="1"/>
  <c r="Q19" i="3"/>
  <c r="R19" i="3" s="1"/>
  <c r="Q20" i="3"/>
  <c r="R20" i="3" s="1"/>
  <c r="Q21" i="3"/>
  <c r="R21" i="3" s="1"/>
  <c r="Q22" i="3"/>
  <c r="R22" i="3" s="1"/>
  <c r="Q23" i="3"/>
  <c r="R23" i="3" s="1"/>
  <c r="Q24" i="3"/>
  <c r="R24" i="3" s="1"/>
  <c r="Q25" i="3"/>
  <c r="R25" i="3" s="1"/>
  <c r="Q26" i="3"/>
  <c r="R26" i="3" s="1"/>
  <c r="Q27" i="3"/>
  <c r="R27" i="3" s="1"/>
  <c r="Q28" i="3"/>
  <c r="R28" i="3" s="1"/>
  <c r="Q29" i="3"/>
  <c r="R29" i="3" s="1"/>
  <c r="Q30" i="3"/>
  <c r="R30" i="3" s="1"/>
  <c r="Q31" i="3"/>
  <c r="R31" i="3" s="1"/>
  <c r="Q32" i="3"/>
  <c r="R32" i="3" s="1"/>
  <c r="Q33" i="3"/>
  <c r="R33" i="3" s="1"/>
  <c r="Q34" i="3"/>
  <c r="R34" i="3" s="1"/>
  <c r="Q35" i="3"/>
  <c r="R35" i="3" s="1"/>
  <c r="Q36" i="3"/>
  <c r="R36" i="3" s="1"/>
  <c r="Q37" i="3"/>
  <c r="R37" i="3" s="1"/>
  <c r="Q38" i="3"/>
  <c r="R38" i="3" s="1"/>
  <c r="Q39" i="3"/>
  <c r="R39" i="3" s="1"/>
  <c r="Q40" i="3"/>
  <c r="R40" i="3" s="1"/>
  <c r="Q41" i="3"/>
  <c r="R41" i="3" s="1"/>
  <c r="Q42" i="3"/>
  <c r="R42" i="3" s="1"/>
  <c r="Q43" i="3"/>
  <c r="R43" i="3" s="1"/>
  <c r="Q44" i="3"/>
  <c r="R44" i="3" s="1"/>
  <c r="Q45" i="3"/>
  <c r="R45" i="3" s="1"/>
  <c r="Q46" i="3"/>
  <c r="R46" i="3" s="1"/>
  <c r="Q47" i="3"/>
  <c r="R47" i="3" s="1"/>
  <c r="Q48" i="3"/>
  <c r="R48" i="3" s="1"/>
  <c r="Q49" i="3"/>
  <c r="R49" i="3" s="1"/>
  <c r="Q50" i="3"/>
  <c r="R50" i="3" s="1"/>
  <c r="Q51" i="3"/>
  <c r="R51" i="3" s="1"/>
  <c r="Q52" i="3"/>
  <c r="R52" i="3" s="1"/>
  <c r="Q53" i="3"/>
  <c r="R53" i="3" s="1"/>
  <c r="Q54" i="3"/>
  <c r="R54" i="3" s="1"/>
  <c r="Q55" i="3"/>
  <c r="R55" i="3" s="1"/>
  <c r="Q56" i="3"/>
  <c r="R56" i="3" s="1"/>
  <c r="Q57" i="3"/>
  <c r="R57" i="3" s="1"/>
  <c r="Q58" i="3"/>
  <c r="R58" i="3" s="1"/>
  <c r="Q59" i="3"/>
  <c r="R59" i="3" s="1"/>
  <c r="Q60" i="3"/>
  <c r="R60" i="3" s="1"/>
  <c r="Q61" i="3"/>
  <c r="R61" i="3" s="1"/>
  <c r="Q62" i="3"/>
  <c r="R62" i="3" s="1"/>
  <c r="Q63" i="3"/>
  <c r="R63" i="3" s="1"/>
  <c r="Q64" i="3"/>
  <c r="R64" i="3" s="1"/>
  <c r="Q65" i="3"/>
  <c r="R65" i="3" s="1"/>
  <c r="Q66" i="3"/>
  <c r="R66" i="3" s="1"/>
  <c r="Q67" i="3"/>
  <c r="R67" i="3" s="1"/>
  <c r="Q68" i="3"/>
  <c r="R68" i="3" s="1"/>
  <c r="Q69" i="3"/>
  <c r="R69" i="3" s="1"/>
  <c r="Q70" i="3"/>
  <c r="R70" i="3" s="1"/>
  <c r="Q71" i="3"/>
  <c r="R71" i="3" s="1"/>
  <c r="Q72" i="3"/>
  <c r="R72" i="3" s="1"/>
  <c r="Q73" i="3"/>
  <c r="R73" i="3" s="1"/>
  <c r="Q74" i="3"/>
  <c r="R74" i="3" s="1"/>
  <c r="Q75" i="3"/>
  <c r="R75" i="3" s="1"/>
  <c r="Q76" i="3"/>
  <c r="R76" i="3" s="1"/>
  <c r="Q77" i="3"/>
  <c r="R77" i="3" s="1"/>
  <c r="Q78" i="3"/>
  <c r="R78" i="3" s="1"/>
  <c r="Q79" i="3"/>
  <c r="R79" i="3" s="1"/>
  <c r="Q80" i="3"/>
  <c r="R80" i="3" s="1"/>
  <c r="Q81" i="3"/>
  <c r="R81" i="3" s="1"/>
  <c r="Q82" i="3"/>
  <c r="R82" i="3" s="1"/>
  <c r="Q83" i="3"/>
  <c r="R83" i="3" s="1"/>
  <c r="Q84" i="3"/>
  <c r="R84" i="3" s="1"/>
  <c r="Q85" i="3"/>
  <c r="R85" i="3" s="1"/>
  <c r="Q86" i="3"/>
  <c r="R86" i="3" s="1"/>
  <c r="Q87" i="3"/>
  <c r="R87" i="3" s="1"/>
  <c r="Q88" i="3"/>
  <c r="R88" i="3" s="1"/>
  <c r="Q89" i="3"/>
  <c r="R89" i="3" s="1"/>
  <c r="Q90" i="3"/>
  <c r="R90" i="3" s="1"/>
  <c r="Q91" i="3"/>
  <c r="R91" i="3" s="1"/>
  <c r="Q92" i="3"/>
  <c r="R92" i="3" s="1"/>
  <c r="Q93" i="3"/>
  <c r="R93" i="3" s="1"/>
  <c r="Q94" i="3"/>
  <c r="R94" i="3" s="1"/>
  <c r="Q95" i="3"/>
  <c r="R95" i="3" s="1"/>
  <c r="Q96" i="3"/>
  <c r="R96" i="3" s="1"/>
  <c r="Q97" i="3"/>
  <c r="R97" i="3" s="1"/>
  <c r="Q98" i="3"/>
  <c r="R98" i="3" s="1"/>
  <c r="Q99" i="3"/>
  <c r="R99" i="3" s="1"/>
  <c r="Q100" i="3"/>
  <c r="R100" i="3" s="1"/>
  <c r="Q101" i="3"/>
  <c r="R101" i="3" s="1"/>
  <c r="Q102" i="3"/>
  <c r="R102" i="3" s="1"/>
  <c r="Q103" i="3"/>
  <c r="R103" i="3" s="1"/>
  <c r="Q104" i="3"/>
  <c r="R104" i="3" s="1"/>
  <c r="Q105" i="3"/>
  <c r="R105" i="3" s="1"/>
  <c r="Q106" i="3"/>
  <c r="R106" i="3" s="1"/>
  <c r="Q107" i="3"/>
  <c r="R107" i="3" s="1"/>
  <c r="Q108" i="3"/>
  <c r="R108" i="3" s="1"/>
  <c r="Q109" i="3"/>
  <c r="R109" i="3" s="1"/>
  <c r="Q110" i="3"/>
  <c r="R110" i="3" s="1"/>
  <c r="Q111" i="3"/>
  <c r="R111" i="3" s="1"/>
  <c r="Q112" i="3"/>
  <c r="R112" i="3" s="1"/>
  <c r="Q113" i="3"/>
  <c r="R113" i="3" s="1"/>
  <c r="Q114" i="3"/>
  <c r="R114" i="3" s="1"/>
  <c r="Q115" i="3"/>
  <c r="R115" i="3" s="1"/>
  <c r="Q116" i="3"/>
  <c r="R116" i="3" s="1"/>
  <c r="Q117" i="3"/>
  <c r="R117" i="3" s="1"/>
  <c r="Q118" i="3"/>
  <c r="R118" i="3" s="1"/>
  <c r="Q119" i="3"/>
  <c r="R119" i="3" s="1"/>
  <c r="Q120" i="3"/>
  <c r="R120" i="3" s="1"/>
  <c r="Q121" i="3"/>
  <c r="R121" i="3" s="1"/>
  <c r="Q122" i="3"/>
  <c r="R122" i="3" s="1"/>
  <c r="Q123" i="3"/>
  <c r="R123" i="3" s="1"/>
  <c r="Q124" i="3"/>
  <c r="R124" i="3" s="1"/>
  <c r="Q125" i="3"/>
  <c r="R125" i="3" s="1"/>
  <c r="Q126" i="3"/>
  <c r="R126" i="3" s="1"/>
  <c r="Q127" i="3"/>
  <c r="R127" i="3" s="1"/>
  <c r="Q128" i="3"/>
  <c r="R128" i="3" s="1"/>
  <c r="Q129" i="3"/>
  <c r="R129" i="3" s="1"/>
  <c r="Q130" i="3"/>
  <c r="R130" i="3" s="1"/>
  <c r="Q131" i="3"/>
  <c r="R131" i="3" s="1"/>
  <c r="Q132" i="3"/>
  <c r="R132" i="3" s="1"/>
  <c r="Q133" i="3"/>
  <c r="R133" i="3" s="1"/>
  <c r="Q134" i="3"/>
  <c r="R134" i="3" s="1"/>
  <c r="Q135" i="3"/>
  <c r="R135" i="3" s="1"/>
  <c r="Q136" i="3"/>
  <c r="R136" i="3" s="1"/>
  <c r="Q137" i="3"/>
  <c r="R137" i="3" s="1"/>
  <c r="Q138" i="3"/>
  <c r="R138" i="3" s="1"/>
  <c r="Q139" i="3"/>
  <c r="R139" i="3" s="1"/>
  <c r="Q140" i="3"/>
  <c r="R140" i="3" s="1"/>
  <c r="Q141" i="3"/>
  <c r="R141" i="3" s="1"/>
  <c r="Q142" i="3"/>
  <c r="R142" i="3" s="1"/>
  <c r="Q143" i="3"/>
  <c r="R143" i="3" s="1"/>
  <c r="Q144" i="3"/>
  <c r="R144" i="3" s="1"/>
  <c r="Q145" i="3"/>
  <c r="R145" i="3" s="1"/>
  <c r="Q146" i="3"/>
  <c r="R146" i="3" s="1"/>
  <c r="Q147" i="3"/>
  <c r="R147" i="3" s="1"/>
  <c r="Q148" i="3"/>
  <c r="R148" i="3" s="1"/>
  <c r="Q149" i="3"/>
  <c r="R149" i="3" s="1"/>
  <c r="Q150" i="3"/>
  <c r="R150" i="3" s="1"/>
  <c r="Q151" i="3"/>
  <c r="R151" i="3" s="1"/>
  <c r="Q152" i="3"/>
  <c r="R152" i="3" s="1"/>
  <c r="Q153" i="3"/>
  <c r="R153" i="3" s="1"/>
  <c r="Q154" i="3"/>
  <c r="R154" i="3" s="1"/>
  <c r="Q155" i="3"/>
  <c r="R155" i="3" s="1"/>
  <c r="Q156" i="3"/>
  <c r="R156" i="3" s="1"/>
  <c r="Q157" i="3"/>
  <c r="R157" i="3" s="1"/>
  <c r="Q158" i="3"/>
  <c r="R158" i="3" s="1"/>
  <c r="Q159" i="3"/>
  <c r="R159" i="3" s="1"/>
  <c r="Q160" i="3"/>
  <c r="R160" i="3" s="1"/>
  <c r="Q161" i="3"/>
  <c r="R161" i="3" s="1"/>
  <c r="Q162" i="3"/>
  <c r="R162" i="3" s="1"/>
  <c r="Q163" i="3"/>
  <c r="R163" i="3" s="1"/>
  <c r="Q164" i="3"/>
  <c r="R164" i="3" s="1"/>
  <c r="Q165" i="3"/>
  <c r="R165" i="3" s="1"/>
  <c r="Q166" i="3"/>
  <c r="R166" i="3" s="1"/>
  <c r="Q167" i="3"/>
  <c r="R167" i="3" s="1"/>
  <c r="Q168" i="3"/>
  <c r="R168" i="3" s="1"/>
  <c r="Q169" i="3"/>
  <c r="R169" i="3" s="1"/>
  <c r="Q170" i="3"/>
  <c r="R170" i="3" s="1"/>
  <c r="Q171" i="3"/>
  <c r="R171" i="3" s="1"/>
  <c r="Q172" i="3"/>
  <c r="R172" i="3" s="1"/>
  <c r="Q173" i="3"/>
  <c r="R173" i="3" s="1"/>
  <c r="Q174" i="3"/>
  <c r="R174" i="3" s="1"/>
  <c r="Q175" i="3"/>
  <c r="R175" i="3" s="1"/>
  <c r="Q176" i="3"/>
  <c r="R176" i="3" s="1"/>
  <c r="Q177" i="3"/>
  <c r="R177" i="3" s="1"/>
  <c r="Q228" i="3"/>
  <c r="R228" i="3" s="1"/>
  <c r="Q229" i="3"/>
  <c r="R229" i="3" s="1"/>
  <c r="Q230" i="3"/>
  <c r="R230" i="3" s="1"/>
  <c r="Q231" i="3"/>
  <c r="R231" i="3" s="1"/>
  <c r="Q232" i="3"/>
  <c r="R232" i="3" s="1"/>
  <c r="Q233" i="3"/>
  <c r="R233" i="3" s="1"/>
  <c r="Q234" i="3"/>
  <c r="R234" i="3" s="1"/>
  <c r="Q235" i="3"/>
  <c r="R235" i="3" s="1"/>
  <c r="Q236" i="3"/>
  <c r="R236" i="3" s="1"/>
  <c r="Q237" i="3"/>
  <c r="R237" i="3" s="1"/>
  <c r="Q239" i="3"/>
  <c r="R239" i="3" s="1"/>
  <c r="Q242" i="3"/>
  <c r="R242" i="3" s="1"/>
  <c r="Q243" i="3"/>
  <c r="R243" i="3" s="1"/>
  <c r="Q244" i="3"/>
  <c r="R244" i="3" s="1"/>
  <c r="Q245" i="3"/>
  <c r="R245" i="3" s="1"/>
  <c r="Q246" i="3"/>
  <c r="R246" i="3" s="1"/>
  <c r="Q247" i="3"/>
  <c r="R247" i="3" s="1"/>
  <c r="Q248" i="3"/>
  <c r="R248" i="3" s="1"/>
  <c r="Q249" i="3"/>
  <c r="R249" i="3" s="1"/>
  <c r="Q250" i="3"/>
  <c r="R250" i="3" s="1"/>
  <c r="Q251" i="3"/>
  <c r="R251" i="3" s="1"/>
  <c r="Q252" i="3"/>
  <c r="R252" i="3" s="1"/>
  <c r="Q253" i="3"/>
  <c r="R253" i="3" s="1"/>
  <c r="Q254" i="3"/>
  <c r="R254" i="3" s="1"/>
  <c r="Q255" i="3"/>
  <c r="R255" i="3" s="1"/>
  <c r="Q256" i="3"/>
  <c r="R256" i="3" s="1"/>
  <c r="Q257" i="3"/>
  <c r="R257" i="3" s="1"/>
  <c r="Q258" i="3"/>
  <c r="R258" i="3" s="1"/>
  <c r="Q259" i="3"/>
  <c r="R259" i="3" s="1"/>
  <c r="Q260" i="3"/>
  <c r="R260" i="3" s="1"/>
  <c r="Q261" i="3"/>
  <c r="R261" i="3" s="1"/>
  <c r="Q262" i="3"/>
  <c r="R262" i="3" s="1"/>
  <c r="Q263" i="3"/>
  <c r="R263" i="3" s="1"/>
  <c r="Q264" i="3"/>
  <c r="R264" i="3" s="1"/>
  <c r="Q265" i="3"/>
  <c r="R265" i="3" s="1"/>
  <c r="Q266" i="3"/>
  <c r="R266" i="3" s="1"/>
  <c r="Q267" i="3"/>
  <c r="R267" i="3" s="1"/>
  <c r="Q268" i="3"/>
  <c r="R268" i="3" s="1"/>
  <c r="Q269" i="3"/>
  <c r="R269" i="3" s="1"/>
  <c r="Q270" i="3"/>
  <c r="R270" i="3" s="1"/>
  <c r="Q271" i="3"/>
  <c r="R271" i="3" s="1"/>
  <c r="Q272" i="3"/>
  <c r="R272" i="3" s="1"/>
  <c r="Q273" i="3"/>
  <c r="R273" i="3" s="1"/>
  <c r="Q274" i="3"/>
  <c r="R274" i="3" s="1"/>
  <c r="Q275" i="3"/>
  <c r="R275" i="3" s="1"/>
  <c r="Q276" i="3"/>
  <c r="R276" i="3" s="1"/>
  <c r="Q277" i="3"/>
  <c r="R277" i="3" s="1"/>
  <c r="Q4" i="3"/>
  <c r="F10" i="1"/>
  <c r="C7" i="4"/>
  <c r="W26" i="6" l="1"/>
  <c r="W25" i="6"/>
  <c r="W27" i="6"/>
  <c r="W23" i="6"/>
  <c r="W22" i="6"/>
  <c r="M24" i="1"/>
  <c r="C23" i="6"/>
  <c r="C24" i="6"/>
  <c r="M33" i="1"/>
  <c r="F34" i="1"/>
  <c r="M34" i="1"/>
  <c r="F33" i="1"/>
  <c r="F24" i="1"/>
  <c r="D3" i="6"/>
  <c r="D13" i="6" s="1"/>
  <c r="C12" i="6"/>
  <c r="C14" i="6"/>
  <c r="C6" i="6"/>
  <c r="C7" i="6"/>
  <c r="C8" i="6"/>
  <c r="C5" i="6"/>
  <c r="C9" i="6"/>
  <c r="C10" i="6"/>
  <c r="C11" i="6"/>
  <c r="X3" i="6"/>
  <c r="X13" i="6" s="1"/>
  <c r="W8" i="6"/>
  <c r="W5" i="6"/>
  <c r="W9" i="6"/>
  <c r="W10" i="6"/>
  <c r="W11" i="6"/>
  <c r="W12" i="6"/>
  <c r="W14" i="6"/>
  <c r="W6" i="6"/>
  <c r="W7" i="6"/>
  <c r="X20" i="6"/>
  <c r="X24" i="6" s="1"/>
  <c r="R4" i="3"/>
  <c r="D20" i="6"/>
  <c r="L15" i="7"/>
  <c r="F15" i="7"/>
  <c r="L14" i="7"/>
  <c r="F14" i="7"/>
  <c r="L13" i="7"/>
  <c r="F13" i="7"/>
  <c r="L12" i="7"/>
  <c r="F12" i="7"/>
  <c r="L11" i="7"/>
  <c r="F11" i="7"/>
  <c r="L10" i="7"/>
  <c r="J4" i="7"/>
  <c r="X23" i="6" l="1"/>
  <c r="X25" i="6"/>
  <c r="X26" i="6"/>
  <c r="X27" i="6"/>
  <c r="X22" i="6"/>
  <c r="D24" i="6"/>
  <c r="D22" i="6"/>
  <c r="D23" i="6"/>
  <c r="Y3" i="6"/>
  <c r="Y13" i="6" s="1"/>
  <c r="X7" i="6"/>
  <c r="X11" i="6"/>
  <c r="X6" i="6"/>
  <c r="X10" i="6"/>
  <c r="X9" i="6"/>
  <c r="X14" i="6"/>
  <c r="X5" i="6"/>
  <c r="X8" i="6"/>
  <c r="X12" i="6"/>
  <c r="E3" i="6"/>
  <c r="D9" i="6"/>
  <c r="D14" i="6"/>
  <c r="D5" i="6"/>
  <c r="D8" i="6"/>
  <c r="D12" i="6"/>
  <c r="D7" i="6"/>
  <c r="D11" i="6"/>
  <c r="D6" i="6"/>
  <c r="D10" i="6"/>
  <c r="Y20" i="6"/>
  <c r="Y24" i="6" s="1"/>
  <c r="E20" i="6"/>
  <c r="L16" i="7"/>
  <c r="E13" i="6" l="1"/>
  <c r="E5" i="6"/>
  <c r="M16" i="7"/>
  <c r="Y27" i="6"/>
  <c r="Y25" i="6"/>
  <c r="Y26" i="6"/>
  <c r="Y23" i="6"/>
  <c r="Y22" i="6"/>
  <c r="E22" i="6"/>
  <c r="E23" i="6"/>
  <c r="E24" i="6"/>
  <c r="F3" i="6"/>
  <c r="F13" i="6" s="1"/>
  <c r="E9" i="6"/>
  <c r="E14" i="6"/>
  <c r="E8" i="6"/>
  <c r="E12" i="6"/>
  <c r="E7" i="6"/>
  <c r="E11" i="6"/>
  <c r="E6" i="6"/>
  <c r="E10" i="6"/>
  <c r="Z20" i="6"/>
  <c r="Z24" i="6" s="1"/>
  <c r="Z3" i="6"/>
  <c r="Z13" i="6" s="1"/>
  <c r="Y7" i="6"/>
  <c r="Y11" i="6"/>
  <c r="Y6" i="6"/>
  <c r="Y10" i="6"/>
  <c r="Y9" i="6"/>
  <c r="Y14" i="6"/>
  <c r="Y5" i="6"/>
  <c r="Y8" i="6"/>
  <c r="Y12" i="6"/>
  <c r="F20" i="6"/>
  <c r="M11" i="7"/>
  <c r="M14" i="7"/>
  <c r="M13" i="7"/>
  <c r="M10" i="7"/>
  <c r="M12" i="7"/>
  <c r="M15" i="7"/>
  <c r="Z26" i="6" l="1"/>
  <c r="Z25" i="6"/>
  <c r="Z27" i="6"/>
  <c r="Z23" i="6"/>
  <c r="Z22" i="6"/>
  <c r="F22" i="6"/>
  <c r="F23" i="6"/>
  <c r="F24" i="6"/>
  <c r="AA20" i="6"/>
  <c r="AA24" i="6" s="1"/>
  <c r="AA3" i="6"/>
  <c r="Z8" i="6"/>
  <c r="Z12" i="6"/>
  <c r="Z7" i="6"/>
  <c r="Z11" i="6"/>
  <c r="Z6" i="6"/>
  <c r="Z10" i="6"/>
  <c r="Z9" i="6"/>
  <c r="Z14" i="6"/>
  <c r="Z5" i="6"/>
  <c r="G3" i="6"/>
  <c r="F6" i="6"/>
  <c r="F10" i="6"/>
  <c r="F9" i="6"/>
  <c r="F14" i="6"/>
  <c r="F5" i="6"/>
  <c r="F8" i="6"/>
  <c r="F12" i="6"/>
  <c r="F7" i="6"/>
  <c r="F11" i="6"/>
  <c r="G20" i="6"/>
  <c r="I79" i="2"/>
  <c r="K164" i="3" l="1"/>
  <c r="M164" i="3" s="1"/>
  <c r="K173" i="3"/>
  <c r="M173" i="3" s="1"/>
  <c r="G11" i="6"/>
  <c r="J11" i="6" s="1"/>
  <c r="G13" i="6"/>
  <c r="J13" i="6" s="1"/>
  <c r="G12" i="6"/>
  <c r="J12" i="6" s="1"/>
  <c r="G14" i="6"/>
  <c r="J14" i="6" s="1"/>
  <c r="AA13" i="6"/>
  <c r="AD13" i="6" s="1"/>
  <c r="AA12" i="6"/>
  <c r="AD12" i="6" s="1"/>
  <c r="AA10" i="6"/>
  <c r="AD10" i="6" s="1"/>
  <c r="AA25" i="6"/>
  <c r="AA23" i="6"/>
  <c r="AA26" i="6"/>
  <c r="AA27" i="6"/>
  <c r="AA22" i="6"/>
  <c r="Z15" i="6"/>
  <c r="G24" i="6"/>
  <c r="G23" i="6"/>
  <c r="G22" i="6"/>
  <c r="AB3" i="6"/>
  <c r="AB13" i="6" s="1"/>
  <c r="AA5" i="6"/>
  <c r="AA8" i="6"/>
  <c r="AD8" i="6" s="1"/>
  <c r="AA7" i="6"/>
  <c r="AD7" i="6" s="1"/>
  <c r="AA11" i="6"/>
  <c r="AD11" i="6" s="1"/>
  <c r="AA6" i="6"/>
  <c r="AD6" i="6" s="1"/>
  <c r="AA9" i="6"/>
  <c r="AD9" i="6" s="1"/>
  <c r="AA14" i="6"/>
  <c r="AD14" i="6" s="1"/>
  <c r="H3" i="6"/>
  <c r="H13" i="6" s="1"/>
  <c r="G6" i="6"/>
  <c r="J6" i="6" s="1"/>
  <c r="G10" i="6"/>
  <c r="J10" i="6" s="1"/>
  <c r="G9" i="6"/>
  <c r="J9" i="6" s="1"/>
  <c r="G5" i="6"/>
  <c r="G8" i="6"/>
  <c r="J8" i="6" s="1"/>
  <c r="G7" i="6"/>
  <c r="J7" i="6" s="1"/>
  <c r="AB20" i="6"/>
  <c r="AB24" i="6" s="1"/>
  <c r="H20" i="6"/>
  <c r="L17" i="3"/>
  <c r="J5" i="3"/>
  <c r="L5" i="3"/>
  <c r="J6" i="3"/>
  <c r="L6" i="3"/>
  <c r="J7" i="3"/>
  <c r="L7" i="3"/>
  <c r="J8" i="3"/>
  <c r="L8" i="3"/>
  <c r="J9" i="3"/>
  <c r="L9" i="3"/>
  <c r="J10" i="3"/>
  <c r="L10" i="3"/>
  <c r="J11" i="3"/>
  <c r="L11" i="3"/>
  <c r="J12" i="3"/>
  <c r="L12" i="3"/>
  <c r="J13" i="3"/>
  <c r="L13" i="3"/>
  <c r="J14" i="3"/>
  <c r="L14" i="3"/>
  <c r="J15" i="3"/>
  <c r="L15" i="3"/>
  <c r="J16" i="3"/>
  <c r="L16" i="3"/>
  <c r="J17" i="3"/>
  <c r="J18" i="3"/>
  <c r="L18" i="3"/>
  <c r="J19" i="3"/>
  <c r="L19" i="3"/>
  <c r="J20" i="3"/>
  <c r="L20" i="3"/>
  <c r="J21" i="3"/>
  <c r="L21" i="3"/>
  <c r="J22" i="3"/>
  <c r="L22" i="3"/>
  <c r="J23" i="3"/>
  <c r="L23" i="3"/>
  <c r="J24" i="3"/>
  <c r="L24" i="3"/>
  <c r="J25" i="3"/>
  <c r="L25" i="3"/>
  <c r="J26" i="3"/>
  <c r="L26" i="3"/>
  <c r="J27" i="3"/>
  <c r="L27" i="3"/>
  <c r="J28" i="3"/>
  <c r="L28" i="3"/>
  <c r="J29" i="3"/>
  <c r="L29" i="3"/>
  <c r="J30" i="3"/>
  <c r="L30" i="3"/>
  <c r="J31" i="3"/>
  <c r="L31" i="3"/>
  <c r="J32" i="3"/>
  <c r="L32" i="3"/>
  <c r="J33" i="3"/>
  <c r="L33" i="3"/>
  <c r="J34" i="3"/>
  <c r="L34" i="3"/>
  <c r="J35" i="3"/>
  <c r="L35" i="3"/>
  <c r="J36" i="3"/>
  <c r="L36" i="3"/>
  <c r="J37" i="3"/>
  <c r="L37" i="3"/>
  <c r="J38" i="3"/>
  <c r="L38" i="3"/>
  <c r="J39" i="3"/>
  <c r="L39" i="3"/>
  <c r="J40" i="3"/>
  <c r="L40" i="3"/>
  <c r="J41" i="3"/>
  <c r="L41" i="3"/>
  <c r="J42" i="3"/>
  <c r="L42" i="3"/>
  <c r="J43" i="3"/>
  <c r="L43" i="3"/>
  <c r="J44" i="3"/>
  <c r="L44" i="3"/>
  <c r="J45" i="3"/>
  <c r="L45" i="3"/>
  <c r="J46" i="3"/>
  <c r="L46" i="3"/>
  <c r="J47" i="3"/>
  <c r="L47" i="3"/>
  <c r="J48" i="3"/>
  <c r="L48" i="3"/>
  <c r="J49" i="3"/>
  <c r="L49" i="3"/>
  <c r="J50" i="3"/>
  <c r="L50" i="3"/>
  <c r="J51" i="3"/>
  <c r="L51" i="3"/>
  <c r="J52" i="3"/>
  <c r="L52" i="3"/>
  <c r="J53" i="3"/>
  <c r="L53" i="3"/>
  <c r="J54" i="3"/>
  <c r="L54" i="3"/>
  <c r="J55" i="3"/>
  <c r="L55" i="3"/>
  <c r="J56" i="3"/>
  <c r="L56" i="3"/>
  <c r="J57" i="3"/>
  <c r="L57" i="3"/>
  <c r="J58" i="3"/>
  <c r="L58" i="3"/>
  <c r="J59" i="3"/>
  <c r="L59" i="3"/>
  <c r="J60" i="3"/>
  <c r="L60" i="3"/>
  <c r="J61" i="3"/>
  <c r="L61" i="3"/>
  <c r="J62" i="3"/>
  <c r="L62" i="3"/>
  <c r="J63" i="3"/>
  <c r="L63" i="3"/>
  <c r="J64" i="3"/>
  <c r="L64" i="3"/>
  <c r="J65" i="3"/>
  <c r="L65" i="3"/>
  <c r="J66" i="3"/>
  <c r="L66" i="3"/>
  <c r="J67" i="3"/>
  <c r="L67" i="3"/>
  <c r="J68" i="3"/>
  <c r="L68" i="3"/>
  <c r="J69" i="3"/>
  <c r="L69" i="3"/>
  <c r="J70" i="3"/>
  <c r="L70" i="3"/>
  <c r="J71" i="3"/>
  <c r="L71" i="3"/>
  <c r="J72" i="3"/>
  <c r="L72" i="3"/>
  <c r="J73" i="3"/>
  <c r="L73" i="3"/>
  <c r="J74" i="3"/>
  <c r="L74" i="3"/>
  <c r="J75" i="3"/>
  <c r="L75" i="3"/>
  <c r="J76" i="3"/>
  <c r="L76" i="3"/>
  <c r="J77" i="3"/>
  <c r="L77" i="3"/>
  <c r="J78" i="3"/>
  <c r="L78" i="3"/>
  <c r="J79" i="3"/>
  <c r="L79" i="3"/>
  <c r="J80" i="3"/>
  <c r="L80" i="3"/>
  <c r="J81" i="3"/>
  <c r="L81" i="3"/>
  <c r="J82" i="3"/>
  <c r="L82" i="3"/>
  <c r="J83" i="3"/>
  <c r="L83" i="3"/>
  <c r="J84" i="3"/>
  <c r="L84" i="3"/>
  <c r="J85" i="3"/>
  <c r="L85" i="3"/>
  <c r="J86" i="3"/>
  <c r="L86" i="3"/>
  <c r="J87" i="3"/>
  <c r="L87" i="3"/>
  <c r="J88" i="3"/>
  <c r="L88" i="3"/>
  <c r="J89" i="3"/>
  <c r="L89" i="3"/>
  <c r="J90" i="3"/>
  <c r="L90" i="3"/>
  <c r="J91" i="3"/>
  <c r="L91" i="3"/>
  <c r="J92" i="3"/>
  <c r="L92" i="3"/>
  <c r="J93" i="3"/>
  <c r="L93" i="3"/>
  <c r="J94" i="3"/>
  <c r="L94" i="3"/>
  <c r="J95" i="3"/>
  <c r="L95" i="3"/>
  <c r="J96" i="3"/>
  <c r="L96" i="3"/>
  <c r="J97" i="3"/>
  <c r="L97" i="3"/>
  <c r="J98" i="3"/>
  <c r="L98" i="3"/>
  <c r="J99" i="3"/>
  <c r="L99" i="3"/>
  <c r="J100" i="3"/>
  <c r="L100" i="3"/>
  <c r="J101" i="3"/>
  <c r="L101" i="3"/>
  <c r="J102" i="3"/>
  <c r="L102" i="3"/>
  <c r="J103" i="3"/>
  <c r="L103" i="3"/>
  <c r="J104" i="3"/>
  <c r="L104" i="3"/>
  <c r="J105" i="3"/>
  <c r="L105" i="3"/>
  <c r="J106" i="3"/>
  <c r="L106" i="3"/>
  <c r="J107" i="3"/>
  <c r="L107" i="3"/>
  <c r="J108" i="3"/>
  <c r="L108" i="3"/>
  <c r="J109" i="3"/>
  <c r="L109" i="3"/>
  <c r="J110" i="3"/>
  <c r="L110" i="3"/>
  <c r="J111" i="3"/>
  <c r="L111" i="3"/>
  <c r="J112" i="3"/>
  <c r="L112" i="3"/>
  <c r="J113" i="3"/>
  <c r="L113" i="3"/>
  <c r="J114" i="3"/>
  <c r="L114" i="3"/>
  <c r="J115" i="3"/>
  <c r="L115" i="3"/>
  <c r="J116" i="3"/>
  <c r="L116" i="3"/>
  <c r="J117" i="3"/>
  <c r="L117" i="3"/>
  <c r="J118" i="3"/>
  <c r="L118" i="3"/>
  <c r="J119" i="3"/>
  <c r="L119" i="3"/>
  <c r="J120" i="3"/>
  <c r="L120" i="3"/>
  <c r="J121" i="3"/>
  <c r="L121" i="3"/>
  <c r="J122" i="3"/>
  <c r="L122" i="3"/>
  <c r="J123" i="3"/>
  <c r="L123" i="3"/>
  <c r="J124" i="3"/>
  <c r="L124" i="3"/>
  <c r="J125" i="3"/>
  <c r="L125" i="3"/>
  <c r="J126" i="3"/>
  <c r="L126" i="3"/>
  <c r="J127" i="3"/>
  <c r="L127" i="3"/>
  <c r="J128" i="3"/>
  <c r="L128" i="3"/>
  <c r="J129" i="3"/>
  <c r="L129" i="3"/>
  <c r="J130" i="3"/>
  <c r="L130" i="3"/>
  <c r="J131" i="3"/>
  <c r="L131" i="3"/>
  <c r="J132" i="3"/>
  <c r="L132" i="3"/>
  <c r="J133" i="3"/>
  <c r="L133" i="3"/>
  <c r="J134" i="3"/>
  <c r="L134" i="3"/>
  <c r="J135" i="3"/>
  <c r="L135" i="3"/>
  <c r="J136" i="3"/>
  <c r="L136" i="3"/>
  <c r="J137" i="3"/>
  <c r="L137" i="3"/>
  <c r="J138" i="3"/>
  <c r="L138" i="3"/>
  <c r="J139" i="3"/>
  <c r="L139" i="3"/>
  <c r="J140" i="3"/>
  <c r="L140" i="3"/>
  <c r="J141" i="3"/>
  <c r="L141" i="3"/>
  <c r="J142" i="3"/>
  <c r="L142" i="3"/>
  <c r="J143" i="3"/>
  <c r="L143" i="3"/>
  <c r="J144" i="3"/>
  <c r="L144" i="3"/>
  <c r="J145" i="3"/>
  <c r="L145" i="3"/>
  <c r="J146" i="3"/>
  <c r="L146" i="3"/>
  <c r="J147" i="3"/>
  <c r="L147" i="3"/>
  <c r="J148" i="3"/>
  <c r="L148" i="3"/>
  <c r="J149" i="3"/>
  <c r="L149" i="3"/>
  <c r="J150" i="3"/>
  <c r="L150" i="3"/>
  <c r="J151" i="3"/>
  <c r="L151" i="3"/>
  <c r="J152" i="3"/>
  <c r="L152" i="3"/>
  <c r="J153" i="3"/>
  <c r="L153" i="3"/>
  <c r="J154" i="3"/>
  <c r="L154" i="3"/>
  <c r="J155" i="3"/>
  <c r="L155" i="3"/>
  <c r="J156" i="3"/>
  <c r="L156" i="3"/>
  <c r="J157" i="3"/>
  <c r="L157" i="3"/>
  <c r="J158" i="3"/>
  <c r="L158" i="3"/>
  <c r="J159" i="3"/>
  <c r="L159" i="3"/>
  <c r="J160" i="3"/>
  <c r="L160" i="3"/>
  <c r="J161" i="3"/>
  <c r="L161" i="3"/>
  <c r="J162" i="3"/>
  <c r="L162" i="3"/>
  <c r="J163" i="3"/>
  <c r="L163" i="3"/>
  <c r="J164" i="3"/>
  <c r="L164" i="3"/>
  <c r="J165" i="3"/>
  <c r="L165" i="3"/>
  <c r="J166" i="3"/>
  <c r="L166" i="3"/>
  <c r="J167" i="3"/>
  <c r="L167" i="3"/>
  <c r="J168" i="3"/>
  <c r="L168" i="3"/>
  <c r="J169" i="3"/>
  <c r="L169" i="3"/>
  <c r="J170" i="3"/>
  <c r="L170" i="3"/>
  <c r="J171" i="3"/>
  <c r="L171" i="3"/>
  <c r="J172" i="3"/>
  <c r="L172" i="3"/>
  <c r="J173" i="3"/>
  <c r="L173" i="3"/>
  <c r="J174" i="3"/>
  <c r="L174" i="3"/>
  <c r="J175" i="3"/>
  <c r="L175" i="3"/>
  <c r="J176" i="3"/>
  <c r="L176" i="3"/>
  <c r="J177" i="3"/>
  <c r="L177" i="3"/>
  <c r="J228" i="3"/>
  <c r="L228" i="3"/>
  <c r="J229" i="3"/>
  <c r="L229" i="3"/>
  <c r="J230" i="3"/>
  <c r="L230" i="3"/>
  <c r="J231" i="3"/>
  <c r="L231" i="3"/>
  <c r="J232" i="3"/>
  <c r="L232" i="3"/>
  <c r="J233" i="3"/>
  <c r="L233" i="3"/>
  <c r="J234" i="3"/>
  <c r="L234" i="3"/>
  <c r="J235" i="3"/>
  <c r="L235" i="3"/>
  <c r="J236" i="3"/>
  <c r="L236" i="3"/>
  <c r="J237" i="3"/>
  <c r="L237" i="3"/>
  <c r="J239" i="3"/>
  <c r="L239" i="3"/>
  <c r="J242" i="3"/>
  <c r="L242" i="3"/>
  <c r="J243" i="3"/>
  <c r="L243" i="3"/>
  <c r="J244" i="3"/>
  <c r="L244" i="3"/>
  <c r="J245" i="3"/>
  <c r="L245" i="3"/>
  <c r="J246" i="3"/>
  <c r="L246" i="3"/>
  <c r="J247" i="3"/>
  <c r="L247" i="3"/>
  <c r="J248" i="3"/>
  <c r="L248" i="3"/>
  <c r="J249" i="3"/>
  <c r="L249" i="3"/>
  <c r="J250" i="3"/>
  <c r="L250" i="3"/>
  <c r="J251" i="3"/>
  <c r="L251" i="3"/>
  <c r="J252" i="3"/>
  <c r="L252" i="3"/>
  <c r="J253" i="3"/>
  <c r="L253" i="3"/>
  <c r="J254" i="3"/>
  <c r="L254" i="3"/>
  <c r="J255" i="3"/>
  <c r="L255" i="3"/>
  <c r="J256" i="3"/>
  <c r="L256" i="3"/>
  <c r="J257" i="3"/>
  <c r="L257" i="3"/>
  <c r="J258" i="3"/>
  <c r="L258" i="3"/>
  <c r="J259" i="3"/>
  <c r="L259" i="3"/>
  <c r="J260" i="3"/>
  <c r="L260" i="3"/>
  <c r="J261" i="3"/>
  <c r="L261" i="3"/>
  <c r="J262" i="3"/>
  <c r="L262" i="3"/>
  <c r="J263" i="3"/>
  <c r="L263" i="3"/>
  <c r="J264" i="3"/>
  <c r="L264" i="3"/>
  <c r="J265" i="3"/>
  <c r="L265" i="3"/>
  <c r="J266" i="3"/>
  <c r="L266" i="3"/>
  <c r="J267" i="3"/>
  <c r="L267" i="3"/>
  <c r="J268" i="3"/>
  <c r="L268" i="3"/>
  <c r="J269" i="3"/>
  <c r="L269" i="3"/>
  <c r="J270" i="3"/>
  <c r="L270" i="3"/>
  <c r="J271" i="3"/>
  <c r="L271" i="3"/>
  <c r="J272" i="3"/>
  <c r="L272" i="3"/>
  <c r="J273" i="3"/>
  <c r="L273" i="3"/>
  <c r="J274" i="3"/>
  <c r="L274" i="3"/>
  <c r="J275" i="3"/>
  <c r="L275" i="3"/>
  <c r="J276" i="3"/>
  <c r="L276" i="3"/>
  <c r="J277" i="3"/>
  <c r="L277" i="3"/>
  <c r="L4" i="3"/>
  <c r="J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228" i="3"/>
  <c r="F229" i="3"/>
  <c r="F230" i="3"/>
  <c r="F231" i="3"/>
  <c r="F232" i="3"/>
  <c r="F233" i="3"/>
  <c r="F234" i="3"/>
  <c r="F235" i="3"/>
  <c r="F236" i="3"/>
  <c r="F237" i="3"/>
  <c r="F239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4" i="3"/>
  <c r="M80" i="4"/>
  <c r="C80" i="4"/>
  <c r="M53" i="4"/>
  <c r="M66" i="4" s="1"/>
  <c r="C53" i="4"/>
  <c r="C58" i="4" s="1"/>
  <c r="C28" i="4"/>
  <c r="M7" i="4"/>
  <c r="M19" i="4" s="1"/>
  <c r="B90" i="4"/>
  <c r="B87" i="4"/>
  <c r="B84" i="4"/>
  <c r="L90" i="4"/>
  <c r="L87" i="4"/>
  <c r="L84" i="4"/>
  <c r="F12" i="1"/>
  <c r="AD5" i="6" l="1"/>
  <c r="AA15" i="6"/>
  <c r="G15" i="6"/>
  <c r="J5" i="6"/>
  <c r="AB26" i="6"/>
  <c r="AB23" i="6"/>
  <c r="AB25" i="6"/>
  <c r="AB27" i="6"/>
  <c r="AB22" i="6"/>
  <c r="H24" i="6"/>
  <c r="H23" i="6"/>
  <c r="H22" i="6"/>
  <c r="I3" i="6"/>
  <c r="I13" i="6" s="1"/>
  <c r="H7" i="6"/>
  <c r="H11" i="6"/>
  <c r="H6" i="6"/>
  <c r="H10" i="6"/>
  <c r="H9" i="6"/>
  <c r="H14" i="6"/>
  <c r="H5" i="6"/>
  <c r="H8" i="6"/>
  <c r="H12" i="6"/>
  <c r="C90" i="4"/>
  <c r="M84" i="4"/>
  <c r="M87" i="4"/>
  <c r="AC20" i="6"/>
  <c r="AC24" i="6" s="1"/>
  <c r="M90" i="4"/>
  <c r="AC3" i="6"/>
  <c r="AC13" i="6" s="1"/>
  <c r="AB9" i="6"/>
  <c r="AB14" i="6"/>
  <c r="AB5" i="6"/>
  <c r="AB8" i="6"/>
  <c r="AB12" i="6"/>
  <c r="AB7" i="6"/>
  <c r="AB11" i="6"/>
  <c r="AB6" i="6"/>
  <c r="AB10" i="6"/>
  <c r="I20" i="6"/>
  <c r="C32" i="4"/>
  <c r="C38" i="1"/>
  <c r="M11" i="4"/>
  <c r="W28" i="6"/>
  <c r="M60" i="4"/>
  <c r="M59" i="4"/>
  <c r="M65" i="4"/>
  <c r="M70" i="4"/>
  <c r="M71" i="4"/>
  <c r="M55" i="4"/>
  <c r="M72" i="4"/>
  <c r="M73" i="4"/>
  <c r="M61" i="4"/>
  <c r="M74" i="4"/>
  <c r="M56" i="4"/>
  <c r="M10" i="4"/>
  <c r="M22" i="4"/>
  <c r="M64" i="4"/>
  <c r="M58" i="4"/>
  <c r="M67" i="4"/>
  <c r="M20" i="4"/>
  <c r="M57" i="4"/>
  <c r="M9" i="4"/>
  <c r="M21" i="4"/>
  <c r="C22" i="4"/>
  <c r="C20" i="4"/>
  <c r="C87" i="4"/>
  <c r="C84" i="4"/>
  <c r="C71" i="4"/>
  <c r="C74" i="4"/>
  <c r="C67" i="4"/>
  <c r="C60" i="4"/>
  <c r="C73" i="4"/>
  <c r="C59" i="4"/>
  <c r="C66" i="4"/>
  <c r="C61" i="4"/>
  <c r="C72" i="4"/>
  <c r="C65" i="4"/>
  <c r="C11" i="4"/>
  <c r="C10" i="4"/>
  <c r="C21" i="4"/>
  <c r="AC23" i="6" l="1"/>
  <c r="AC26" i="6"/>
  <c r="AC25" i="6"/>
  <c r="AC27" i="6"/>
  <c r="AC22" i="6"/>
  <c r="I22" i="6"/>
  <c r="I24" i="6"/>
  <c r="I23" i="6"/>
  <c r="AC9" i="6"/>
  <c r="AC14" i="6"/>
  <c r="AC8" i="6"/>
  <c r="AC12" i="6"/>
  <c r="AC7" i="6"/>
  <c r="AC11" i="6"/>
  <c r="AC6" i="6"/>
  <c r="AC10" i="6"/>
  <c r="AC5" i="6"/>
  <c r="I7" i="6"/>
  <c r="I11" i="6"/>
  <c r="I6" i="6"/>
  <c r="I10" i="6"/>
  <c r="I9" i="6"/>
  <c r="I14" i="6"/>
  <c r="I8" i="6"/>
  <c r="I12" i="6"/>
  <c r="I5" i="6"/>
  <c r="C15" i="6"/>
  <c r="G16" i="6" s="1"/>
  <c r="C25" i="6"/>
  <c r="W15" i="6"/>
  <c r="I59" i="2"/>
  <c r="K125" i="3" s="1"/>
  <c r="M125" i="3" s="1"/>
  <c r="I39" i="2"/>
  <c r="I18" i="2"/>
  <c r="F19" i="1"/>
  <c r="M19" i="1"/>
  <c r="F20" i="1"/>
  <c r="C42" i="1" s="1"/>
  <c r="F13" i="1"/>
  <c r="C39" i="1" s="1"/>
  <c r="M13" i="1"/>
  <c r="F14" i="1"/>
  <c r="M14" i="1"/>
  <c r="F26" i="1"/>
  <c r="C43" i="1" s="1"/>
  <c r="M26" i="1"/>
  <c r="F27" i="1"/>
  <c r="M27" i="1"/>
  <c r="F28" i="1"/>
  <c r="M28" i="1"/>
  <c r="C40" i="1" l="1"/>
  <c r="C44" i="1"/>
  <c r="K73" i="3"/>
  <c r="M73" i="3" s="1"/>
  <c r="K87" i="3"/>
  <c r="M87" i="3" s="1"/>
  <c r="K55" i="3"/>
  <c r="M55" i="3" s="1"/>
  <c r="K49" i="3"/>
  <c r="M49" i="3" s="1"/>
  <c r="K81" i="3"/>
  <c r="M81" i="3" s="1"/>
  <c r="K50" i="3"/>
  <c r="M50" i="3" s="1"/>
  <c r="K82" i="3"/>
  <c r="M82" i="3" s="1"/>
  <c r="K51" i="3"/>
  <c r="M51" i="3" s="1"/>
  <c r="K53" i="3"/>
  <c r="M53" i="3" s="1"/>
  <c r="K86" i="3"/>
  <c r="M86" i="3" s="1"/>
  <c r="K29" i="3"/>
  <c r="M29" i="3" s="1"/>
  <c r="K43" i="3"/>
  <c r="M43" i="3" s="1"/>
  <c r="X28" i="6"/>
  <c r="D15" i="6"/>
  <c r="D25" i="6"/>
  <c r="X15" i="6"/>
  <c r="F15" i="1"/>
  <c r="M75" i="4"/>
  <c r="M68" i="4"/>
  <c r="M18" i="1"/>
  <c r="M12" i="1"/>
  <c r="F18" i="1"/>
  <c r="M10" i="1"/>
  <c r="C70" i="4"/>
  <c r="C75" i="4" s="1"/>
  <c r="C64" i="4"/>
  <c r="C68" i="4" s="1"/>
  <c r="C56" i="4"/>
  <c r="C57" i="4"/>
  <c r="C55" i="4"/>
  <c r="M18" i="4"/>
  <c r="M23" i="4" s="1"/>
  <c r="M14" i="4"/>
  <c r="M12" i="4"/>
  <c r="C18" i="4"/>
  <c r="C23" i="4" s="1"/>
  <c r="C14" i="4"/>
  <c r="F21" i="1" l="1"/>
  <c r="C41" i="1"/>
  <c r="M15" i="4"/>
  <c r="M16" i="4" s="1"/>
  <c r="M24" i="4" s="1"/>
  <c r="M20" i="1"/>
  <c r="C15" i="4"/>
  <c r="C16" i="4" s="1"/>
  <c r="E15" i="6"/>
  <c r="Y28" i="6"/>
  <c r="F15" i="6"/>
  <c r="E25" i="6"/>
  <c r="Y15" i="6"/>
  <c r="F29" i="1"/>
  <c r="M15" i="1"/>
  <c r="M29" i="1"/>
  <c r="M62" i="4"/>
  <c r="M76" i="4" s="1"/>
  <c r="M82" i="4" s="1"/>
  <c r="C62" i="4"/>
  <c r="C76" i="4" s="1"/>
  <c r="N80" i="4"/>
  <c r="N53" i="4"/>
  <c r="N7" i="4"/>
  <c r="N19" i="4" s="1"/>
  <c r="D80" i="4"/>
  <c r="D90" i="4" s="1"/>
  <c r="D53" i="4"/>
  <c r="D28" i="4"/>
  <c r="D7" i="4"/>
  <c r="D19" i="4" s="1"/>
  <c r="M21" i="1" l="1"/>
  <c r="M30" i="1" s="1"/>
  <c r="N25" i="1" s="1"/>
  <c r="N84" i="4"/>
  <c r="N87" i="4"/>
  <c r="N90" i="4"/>
  <c r="AA28" i="6"/>
  <c r="Z28" i="6"/>
  <c r="F25" i="6"/>
  <c r="AB28" i="6"/>
  <c r="N71" i="4"/>
  <c r="N72" i="4"/>
  <c r="N73" i="4"/>
  <c r="N57" i="4"/>
  <c r="N64" i="4"/>
  <c r="N60" i="4"/>
  <c r="N74" i="4"/>
  <c r="N65" i="4"/>
  <c r="N56" i="4"/>
  <c r="N66" i="4"/>
  <c r="N67" i="4"/>
  <c r="N55" i="4"/>
  <c r="N59" i="4"/>
  <c r="N70" i="4"/>
  <c r="N58" i="4"/>
  <c r="N61" i="4"/>
  <c r="G25" i="6"/>
  <c r="D84" i="4"/>
  <c r="D87" i="4"/>
  <c r="D58" i="4"/>
  <c r="D65" i="4"/>
  <c r="D72" i="4"/>
  <c r="D59" i="4"/>
  <c r="D66" i="4"/>
  <c r="D73" i="4"/>
  <c r="D60" i="4"/>
  <c r="D67" i="4"/>
  <c r="D74" i="4"/>
  <c r="D61" i="4"/>
  <c r="D71" i="4"/>
  <c r="D11" i="4"/>
  <c r="D22" i="4"/>
  <c r="D20" i="4"/>
  <c r="D10" i="4"/>
  <c r="D15" i="4"/>
  <c r="D21" i="4"/>
  <c r="N10" i="4"/>
  <c r="N15" i="4"/>
  <c r="N21" i="4"/>
  <c r="N11" i="4"/>
  <c r="N22" i="4"/>
  <c r="N20" i="4"/>
  <c r="D32" i="4"/>
  <c r="O53" i="4"/>
  <c r="E7" i="4"/>
  <c r="E19" i="4" s="1"/>
  <c r="D18" i="4"/>
  <c r="D14" i="4"/>
  <c r="E53" i="4"/>
  <c r="D64" i="4"/>
  <c r="D56" i="4"/>
  <c r="D70" i="4"/>
  <c r="D55" i="4"/>
  <c r="D57" i="4"/>
  <c r="N14" i="4"/>
  <c r="N18" i="4"/>
  <c r="N9" i="4"/>
  <c r="O7" i="4"/>
  <c r="O19" i="4" s="1"/>
  <c r="E80" i="4"/>
  <c r="E90" i="4" s="1"/>
  <c r="O80" i="4"/>
  <c r="E28" i="4"/>
  <c r="N24" i="1" l="1"/>
  <c r="F7" i="4"/>
  <c r="F19" i="4" s="1"/>
  <c r="O84" i="4"/>
  <c r="O87" i="4"/>
  <c r="O90" i="4"/>
  <c r="AC28" i="6"/>
  <c r="H15" i="6"/>
  <c r="I15" i="6"/>
  <c r="F53" i="4"/>
  <c r="F72" i="4" s="1"/>
  <c r="E59" i="4"/>
  <c r="P53" i="4"/>
  <c r="O72" i="4"/>
  <c r="O58" i="4"/>
  <c r="O73" i="4"/>
  <c r="O64" i="4"/>
  <c r="O61" i="4"/>
  <c r="O74" i="4"/>
  <c r="O65" i="4"/>
  <c r="O57" i="4"/>
  <c r="O66" i="4"/>
  <c r="O60" i="4"/>
  <c r="O67" i="4"/>
  <c r="O59" i="4"/>
  <c r="O56" i="4"/>
  <c r="O70" i="4"/>
  <c r="O71" i="4"/>
  <c r="O55" i="4"/>
  <c r="H25" i="6"/>
  <c r="D75" i="4"/>
  <c r="N75" i="4"/>
  <c r="E84" i="4"/>
  <c r="E87" i="4"/>
  <c r="E58" i="4"/>
  <c r="E65" i="4"/>
  <c r="E60" i="4"/>
  <c r="E67" i="4"/>
  <c r="E74" i="4"/>
  <c r="E72" i="4"/>
  <c r="E73" i="4"/>
  <c r="E61" i="4"/>
  <c r="E71" i="4"/>
  <c r="E66" i="4"/>
  <c r="N62" i="4"/>
  <c r="D62" i="4"/>
  <c r="E11" i="4"/>
  <c r="E22" i="4"/>
  <c r="E21" i="4"/>
  <c r="E20" i="4"/>
  <c r="E10" i="4"/>
  <c r="E15" i="4"/>
  <c r="N12" i="4"/>
  <c r="E32" i="4"/>
  <c r="N23" i="4"/>
  <c r="D23" i="4"/>
  <c r="O20" i="4"/>
  <c r="O21" i="4"/>
  <c r="O10" i="4"/>
  <c r="O15" i="4"/>
  <c r="O22" i="4"/>
  <c r="O11" i="4"/>
  <c r="O14" i="4"/>
  <c r="O18" i="4"/>
  <c r="O9" i="4"/>
  <c r="E9" i="4"/>
  <c r="E14" i="4"/>
  <c r="E18" i="4"/>
  <c r="F57" i="4"/>
  <c r="F56" i="4"/>
  <c r="F55" i="4"/>
  <c r="F64" i="4"/>
  <c r="E64" i="4"/>
  <c r="E57" i="4"/>
  <c r="E70" i="4"/>
  <c r="E56" i="4"/>
  <c r="E55" i="4"/>
  <c r="F80" i="4"/>
  <c r="F90" i="4" s="1"/>
  <c r="Q53" i="4"/>
  <c r="P80" i="4"/>
  <c r="P7" i="4"/>
  <c r="P19" i="4" s="1"/>
  <c r="F28" i="4"/>
  <c r="D68" i="4"/>
  <c r="D16" i="4"/>
  <c r="E12" i="4" l="1"/>
  <c r="F70" i="4"/>
  <c r="F65" i="4"/>
  <c r="G53" i="4"/>
  <c r="E16" i="4"/>
  <c r="F10" i="4"/>
  <c r="F9" i="4"/>
  <c r="F11" i="4"/>
  <c r="F22" i="4"/>
  <c r="F20" i="4"/>
  <c r="F15" i="4"/>
  <c r="G7" i="4"/>
  <c r="F21" i="4"/>
  <c r="F18" i="4"/>
  <c r="F14" i="4"/>
  <c r="P21" i="4"/>
  <c r="F58" i="4"/>
  <c r="P90" i="4"/>
  <c r="P84" i="4"/>
  <c r="P87" i="4"/>
  <c r="F71" i="4"/>
  <c r="F61" i="4"/>
  <c r="F74" i="4"/>
  <c r="F67" i="4"/>
  <c r="F60" i="4"/>
  <c r="F73" i="4"/>
  <c r="F66" i="4"/>
  <c r="F59" i="4"/>
  <c r="P73" i="4"/>
  <c r="P74" i="4"/>
  <c r="P65" i="4"/>
  <c r="P58" i="4"/>
  <c r="P66" i="4"/>
  <c r="P61" i="4"/>
  <c r="P67" i="4"/>
  <c r="P57" i="4"/>
  <c r="P70" i="4"/>
  <c r="P60" i="4"/>
  <c r="P71" i="4"/>
  <c r="P56" i="4"/>
  <c r="P72" i="4"/>
  <c r="P59" i="4"/>
  <c r="P55" i="4"/>
  <c r="P64" i="4"/>
  <c r="Q74" i="4"/>
  <c r="Q65" i="4"/>
  <c r="Q66" i="4"/>
  <c r="Q67" i="4"/>
  <c r="Q58" i="4"/>
  <c r="Q70" i="4"/>
  <c r="Q61" i="4"/>
  <c r="Q71" i="4"/>
  <c r="Q57" i="4"/>
  <c r="Q72" i="4"/>
  <c r="Q60" i="4"/>
  <c r="Q64" i="4"/>
  <c r="Q59" i="4"/>
  <c r="Q55" i="4"/>
  <c r="Q73" i="4"/>
  <c r="Q56" i="4"/>
  <c r="I25" i="6"/>
  <c r="AC15" i="6"/>
  <c r="O75" i="4"/>
  <c r="E75" i="4"/>
  <c r="G61" i="4"/>
  <c r="G58" i="4"/>
  <c r="G59" i="4"/>
  <c r="G66" i="4"/>
  <c r="G73" i="4"/>
  <c r="G72" i="4"/>
  <c r="G60" i="4"/>
  <c r="G67" i="4"/>
  <c r="G74" i="4"/>
  <c r="G71" i="4"/>
  <c r="G65" i="4"/>
  <c r="E23" i="4"/>
  <c r="E24" i="4" s="1"/>
  <c r="F84" i="4"/>
  <c r="F87" i="4"/>
  <c r="O62" i="4"/>
  <c r="E62" i="4"/>
  <c r="G10" i="4"/>
  <c r="G21" i="4"/>
  <c r="G20" i="4"/>
  <c r="O23" i="4"/>
  <c r="F32" i="4"/>
  <c r="P20" i="4"/>
  <c r="P10" i="4"/>
  <c r="P15" i="4"/>
  <c r="P22" i="4"/>
  <c r="P11" i="4"/>
  <c r="O12" i="4"/>
  <c r="G18" i="4"/>
  <c r="E68" i="4"/>
  <c r="G70" i="4"/>
  <c r="G57" i="4"/>
  <c r="G56" i="4"/>
  <c r="G64" i="4"/>
  <c r="G55" i="4"/>
  <c r="O68" i="4"/>
  <c r="P18" i="4"/>
  <c r="P9" i="4"/>
  <c r="P14" i="4"/>
  <c r="H53" i="4"/>
  <c r="I53" i="4" s="1"/>
  <c r="J53" i="4" s="1"/>
  <c r="O16" i="4"/>
  <c r="Q7" i="4"/>
  <c r="Q19" i="4" s="1"/>
  <c r="Q80" i="4"/>
  <c r="G80" i="4"/>
  <c r="G90" i="4" s="1"/>
  <c r="R53" i="4"/>
  <c r="S53" i="4" s="1"/>
  <c r="T53" i="4" s="1"/>
  <c r="H7" i="4"/>
  <c r="H19" i="4" s="1"/>
  <c r="G28" i="4"/>
  <c r="D76" i="4"/>
  <c r="F12" i="4" l="1"/>
  <c r="G15" i="4"/>
  <c r="G19" i="4"/>
  <c r="G22" i="4"/>
  <c r="G11" i="4"/>
  <c r="G14" i="4"/>
  <c r="F16" i="4"/>
  <c r="F23" i="4"/>
  <c r="G32" i="4"/>
  <c r="Q18" i="4"/>
  <c r="I7" i="4"/>
  <c r="Q90" i="4"/>
  <c r="Q84" i="4"/>
  <c r="Q87" i="4"/>
  <c r="F68" i="4"/>
  <c r="I74" i="4"/>
  <c r="I60" i="4"/>
  <c r="I66" i="4"/>
  <c r="I57" i="4"/>
  <c r="S72" i="4"/>
  <c r="S67" i="4"/>
  <c r="I71" i="4"/>
  <c r="I72" i="4"/>
  <c r="S74" i="4"/>
  <c r="S64" i="4"/>
  <c r="I55" i="4"/>
  <c r="I73" i="4"/>
  <c r="S58" i="4"/>
  <c r="S65" i="4"/>
  <c r="I64" i="4"/>
  <c r="I65" i="4"/>
  <c r="S66" i="4"/>
  <c r="S55" i="4"/>
  <c r="S56" i="4"/>
  <c r="I59" i="4"/>
  <c r="I61" i="4"/>
  <c r="S73" i="4"/>
  <c r="S60" i="4"/>
  <c r="S71" i="4"/>
  <c r="I67" i="4"/>
  <c r="I70" i="4"/>
  <c r="S57" i="4"/>
  <c r="S61" i="4"/>
  <c r="I58" i="4"/>
  <c r="I56" i="4"/>
  <c r="S59" i="4"/>
  <c r="S70" i="4"/>
  <c r="F62" i="4"/>
  <c r="F75" i="4"/>
  <c r="P75" i="4"/>
  <c r="P62" i="4"/>
  <c r="P68" i="4"/>
  <c r="R74" i="4"/>
  <c r="R66" i="4"/>
  <c r="R67" i="4"/>
  <c r="R55" i="4"/>
  <c r="R70" i="4"/>
  <c r="R71" i="4"/>
  <c r="R58" i="4"/>
  <c r="R72" i="4"/>
  <c r="R61" i="4"/>
  <c r="R73" i="4"/>
  <c r="R57" i="4"/>
  <c r="R65" i="4"/>
  <c r="R56" i="4"/>
  <c r="R59" i="4"/>
  <c r="R64" i="4"/>
  <c r="R60" i="4"/>
  <c r="O24" i="4"/>
  <c r="H60" i="4"/>
  <c r="H67" i="4"/>
  <c r="H74" i="4"/>
  <c r="H61" i="4"/>
  <c r="H71" i="4"/>
  <c r="H58" i="4"/>
  <c r="H65" i="4"/>
  <c r="H72" i="4"/>
  <c r="H59" i="4"/>
  <c r="H66" i="4"/>
  <c r="H73" i="4"/>
  <c r="G75" i="4"/>
  <c r="Q75" i="4"/>
  <c r="G84" i="4"/>
  <c r="G87" i="4"/>
  <c r="Q62" i="4"/>
  <c r="G62" i="4"/>
  <c r="G23" i="4"/>
  <c r="E76" i="4"/>
  <c r="E88" i="4" s="1"/>
  <c r="P12" i="4"/>
  <c r="Q20" i="4"/>
  <c r="Q15" i="4"/>
  <c r="Q21" i="4"/>
  <c r="Q10" i="4"/>
  <c r="Q11" i="4"/>
  <c r="Q22" i="4"/>
  <c r="P23" i="4"/>
  <c r="H20" i="4"/>
  <c r="H10" i="4"/>
  <c r="H15" i="4"/>
  <c r="H21" i="4"/>
  <c r="H22" i="4"/>
  <c r="H11" i="4"/>
  <c r="Q9" i="4"/>
  <c r="Q14" i="4"/>
  <c r="H9" i="4"/>
  <c r="H14" i="4"/>
  <c r="H18" i="4"/>
  <c r="H57" i="4"/>
  <c r="H64" i="4"/>
  <c r="H56" i="4"/>
  <c r="H55" i="4"/>
  <c r="H70" i="4"/>
  <c r="O76" i="4"/>
  <c r="D85" i="4"/>
  <c r="D88" i="4"/>
  <c r="D91" i="4"/>
  <c r="R7" i="4"/>
  <c r="R19" i="4" s="1"/>
  <c r="G68" i="4"/>
  <c r="Q68" i="4"/>
  <c r="H80" i="4"/>
  <c r="R80" i="4"/>
  <c r="P16" i="4"/>
  <c r="H28" i="4"/>
  <c r="G16" i="4" l="1"/>
  <c r="F24" i="4"/>
  <c r="Q12" i="4"/>
  <c r="Q23" i="4"/>
  <c r="Q16" i="4"/>
  <c r="E33" i="4"/>
  <c r="J7" i="4"/>
  <c r="J19" i="4" s="1"/>
  <c r="I28" i="4"/>
  <c r="I80" i="4"/>
  <c r="I84" i="4" s="1"/>
  <c r="H90" i="4"/>
  <c r="S80" i="4"/>
  <c r="R90" i="4"/>
  <c r="R84" i="4"/>
  <c r="R87" i="4"/>
  <c r="P76" i="4"/>
  <c r="P88" i="4" s="1"/>
  <c r="F76" i="4"/>
  <c r="F85" i="4" s="1"/>
  <c r="S75" i="4"/>
  <c r="I75" i="4"/>
  <c r="S62" i="4"/>
  <c r="S68" i="4"/>
  <c r="I68" i="4"/>
  <c r="S7" i="4"/>
  <c r="S19" i="4" s="1"/>
  <c r="I62" i="4"/>
  <c r="T67" i="4"/>
  <c r="T56" i="4"/>
  <c r="T70" i="4"/>
  <c r="T59" i="4"/>
  <c r="T71" i="4"/>
  <c r="T55" i="4"/>
  <c r="T72" i="4"/>
  <c r="T58" i="4"/>
  <c r="T73" i="4"/>
  <c r="T64" i="4"/>
  <c r="T61" i="4"/>
  <c r="T74" i="4"/>
  <c r="T65" i="4"/>
  <c r="T57" i="4"/>
  <c r="T66" i="4"/>
  <c r="T60" i="4"/>
  <c r="E91" i="4"/>
  <c r="J60" i="4"/>
  <c r="J58" i="4"/>
  <c r="J65" i="4"/>
  <c r="J72" i="4"/>
  <c r="J61" i="4"/>
  <c r="J67" i="4"/>
  <c r="J71" i="4"/>
  <c r="J59" i="4"/>
  <c r="J66" i="4"/>
  <c r="J73" i="4"/>
  <c r="J74" i="4"/>
  <c r="R75" i="4"/>
  <c r="H84" i="4"/>
  <c r="H87" i="4"/>
  <c r="H75" i="4"/>
  <c r="R62" i="4"/>
  <c r="E85" i="4"/>
  <c r="H62" i="4"/>
  <c r="H32" i="4"/>
  <c r="H12" i="4"/>
  <c r="H23" i="4"/>
  <c r="R20" i="4"/>
  <c r="R11" i="4"/>
  <c r="R22" i="4"/>
  <c r="R21" i="4"/>
  <c r="R10" i="4"/>
  <c r="R15" i="4"/>
  <c r="J20" i="4"/>
  <c r="J10" i="4"/>
  <c r="J15" i="4"/>
  <c r="J21" i="4"/>
  <c r="J22" i="4"/>
  <c r="J11" i="4"/>
  <c r="J55" i="4"/>
  <c r="J64" i="4"/>
  <c r="J57" i="4"/>
  <c r="J70" i="4"/>
  <c r="J56" i="4"/>
  <c r="O85" i="4"/>
  <c r="O88" i="4"/>
  <c r="O91" i="4"/>
  <c r="R18" i="4"/>
  <c r="R9" i="4"/>
  <c r="R14" i="4"/>
  <c r="J14" i="4"/>
  <c r="J18" i="4"/>
  <c r="J9" i="4"/>
  <c r="F33" i="4"/>
  <c r="G76" i="4"/>
  <c r="H68" i="4"/>
  <c r="P24" i="4"/>
  <c r="Q76" i="4"/>
  <c r="R68" i="4"/>
  <c r="H16" i="4"/>
  <c r="I87" i="4" l="1"/>
  <c r="Q24" i="4"/>
  <c r="P91" i="4"/>
  <c r="P85" i="4"/>
  <c r="J16" i="4"/>
  <c r="J23" i="4"/>
  <c r="F88" i="4"/>
  <c r="J80" i="4"/>
  <c r="J90" i="4" s="1"/>
  <c r="I90" i="4"/>
  <c r="J28" i="4"/>
  <c r="I32" i="4"/>
  <c r="T80" i="4"/>
  <c r="S90" i="4"/>
  <c r="S84" i="4"/>
  <c r="S87" i="4"/>
  <c r="F91" i="4"/>
  <c r="S76" i="4"/>
  <c r="S82" i="4" s="1"/>
  <c r="I76" i="4"/>
  <c r="T7" i="4"/>
  <c r="S14" i="4"/>
  <c r="S18" i="4"/>
  <c r="S21" i="4"/>
  <c r="S15" i="4"/>
  <c r="S20" i="4"/>
  <c r="S9" i="4"/>
  <c r="S11" i="4"/>
  <c r="S10" i="4"/>
  <c r="S22" i="4"/>
  <c r="J75" i="4"/>
  <c r="T75" i="4"/>
  <c r="R23" i="4"/>
  <c r="J84" i="4"/>
  <c r="T62" i="4"/>
  <c r="J62" i="4"/>
  <c r="R76" i="4"/>
  <c r="R85" i="4" s="1"/>
  <c r="H76" i="4"/>
  <c r="H85" i="4" s="1"/>
  <c r="J12" i="4"/>
  <c r="R12" i="4"/>
  <c r="T10" i="4"/>
  <c r="T15" i="4"/>
  <c r="J68" i="4"/>
  <c r="R16" i="4"/>
  <c r="T9" i="4"/>
  <c r="G85" i="4"/>
  <c r="G91" i="4"/>
  <c r="G88" i="4"/>
  <c r="Q85" i="4"/>
  <c r="Q88" i="4"/>
  <c r="Q91" i="4"/>
  <c r="H24" i="4"/>
  <c r="H30" i="4" s="1"/>
  <c r="T68" i="4"/>
  <c r="T22" i="4" l="1"/>
  <c r="T19" i="4"/>
  <c r="T11" i="4"/>
  <c r="T12" i="4" s="1"/>
  <c r="J32" i="4"/>
  <c r="I88" i="4"/>
  <c r="J87" i="4"/>
  <c r="T18" i="4"/>
  <c r="T90" i="4"/>
  <c r="T84" i="4"/>
  <c r="T87" i="4"/>
  <c r="I91" i="4"/>
  <c r="S88" i="4"/>
  <c r="T14" i="4"/>
  <c r="T21" i="4"/>
  <c r="T20" i="4"/>
  <c r="S85" i="4"/>
  <c r="S91" i="4"/>
  <c r="I85" i="4"/>
  <c r="I82" i="4"/>
  <c r="S23" i="4"/>
  <c r="S16" i="4"/>
  <c r="S12" i="4"/>
  <c r="J76" i="4"/>
  <c r="J91" i="4" s="1"/>
  <c r="H88" i="4"/>
  <c r="H91" i="4"/>
  <c r="R24" i="4"/>
  <c r="R88" i="4"/>
  <c r="R91" i="4"/>
  <c r="H33" i="4"/>
  <c r="J24" i="4"/>
  <c r="T76" i="4"/>
  <c r="D5" i="2"/>
  <c r="D6" i="2" s="1"/>
  <c r="D7" i="2" s="1"/>
  <c r="D8" i="2" s="1"/>
  <c r="D9" i="2" s="1"/>
  <c r="D10" i="2" s="1"/>
  <c r="D11" i="2" s="1"/>
  <c r="D12" i="2" s="1"/>
  <c r="D13" i="2" s="1"/>
  <c r="D14" i="2" s="1"/>
  <c r="E10" i="1"/>
  <c r="E25" i="1" l="1"/>
  <c r="L25" i="1"/>
  <c r="L24" i="1"/>
  <c r="E24" i="1"/>
  <c r="T16" i="4"/>
  <c r="T23" i="4"/>
  <c r="L12" i="1"/>
  <c r="E12" i="1"/>
  <c r="L13" i="1"/>
  <c r="E13" i="1"/>
  <c r="E20" i="1"/>
  <c r="L18" i="1"/>
  <c r="E18" i="1"/>
  <c r="L26" i="1"/>
  <c r="E26" i="1"/>
  <c r="L27" i="1"/>
  <c r="L14" i="1"/>
  <c r="E27" i="1"/>
  <c r="E14" i="1"/>
  <c r="E28" i="1"/>
  <c r="L20" i="1"/>
  <c r="L28" i="1"/>
  <c r="L19" i="1"/>
  <c r="E19" i="1"/>
  <c r="F10" i="7"/>
  <c r="S24" i="4"/>
  <c r="J85" i="4"/>
  <c r="J88" i="4"/>
  <c r="J33" i="4"/>
  <c r="T85" i="4"/>
  <c r="T88" i="4"/>
  <c r="T91" i="4"/>
  <c r="T24" i="4" l="1"/>
  <c r="F16" i="7"/>
  <c r="N68" i="4"/>
  <c r="G10" i="7" l="1"/>
  <c r="G16" i="7"/>
  <c r="G14" i="7"/>
  <c r="G13" i="7"/>
  <c r="G11" i="7"/>
  <c r="G15" i="7"/>
  <c r="G12" i="7"/>
  <c r="N76" i="4"/>
  <c r="C85" i="4" l="1"/>
  <c r="I86" i="4" s="1"/>
  <c r="C88" i="4"/>
  <c r="I89" i="4" s="1"/>
  <c r="C91" i="4"/>
  <c r="I92" i="4" s="1"/>
  <c r="N88" i="4"/>
  <c r="N91" i="4"/>
  <c r="M85" i="4"/>
  <c r="S86" i="4" s="1"/>
  <c r="M91" i="4"/>
  <c r="S92" i="4" s="1"/>
  <c r="M88" i="4"/>
  <c r="S89" i="4" s="1"/>
  <c r="E82" i="4"/>
  <c r="F82" i="4"/>
  <c r="G82" i="4"/>
  <c r="H82" i="4"/>
  <c r="O82" i="4"/>
  <c r="P82" i="4"/>
  <c r="Q82" i="4"/>
  <c r="R82" i="4"/>
  <c r="T82" i="4"/>
  <c r="D82" i="4"/>
  <c r="J82" i="4"/>
  <c r="N85" i="4"/>
  <c r="N82" i="4"/>
  <c r="C82" i="4"/>
  <c r="C92" i="4" l="1"/>
  <c r="E92" i="4"/>
  <c r="D92" i="4"/>
  <c r="F92" i="4"/>
  <c r="H92" i="4"/>
  <c r="G92" i="4"/>
  <c r="J92" i="4"/>
  <c r="C86" i="4"/>
  <c r="E86" i="4"/>
  <c r="D86" i="4"/>
  <c r="F86" i="4"/>
  <c r="G86" i="4"/>
  <c r="H86" i="4"/>
  <c r="J86" i="4"/>
  <c r="C89" i="4"/>
  <c r="E89" i="4"/>
  <c r="D89" i="4"/>
  <c r="F89" i="4"/>
  <c r="G89" i="4"/>
  <c r="H89" i="4"/>
  <c r="J89" i="4"/>
  <c r="M89" i="4"/>
  <c r="N89" i="4"/>
  <c r="O89" i="4"/>
  <c r="P89" i="4"/>
  <c r="Q89" i="4"/>
  <c r="R89" i="4"/>
  <c r="T89" i="4"/>
  <c r="T92" i="4"/>
  <c r="M92" i="4"/>
  <c r="Q92" i="4"/>
  <c r="P92" i="4"/>
  <c r="N92" i="4"/>
  <c r="R92" i="4"/>
  <c r="O92" i="4"/>
  <c r="N86" i="4"/>
  <c r="M86" i="4"/>
  <c r="O86" i="4"/>
  <c r="P86" i="4"/>
  <c r="Q86" i="4"/>
  <c r="R86" i="4"/>
  <c r="T86" i="4"/>
  <c r="D9" i="4"/>
  <c r="D12" i="4" s="1"/>
  <c r="D24" i="4" s="1"/>
  <c r="D33" i="4" l="1"/>
  <c r="G9" i="4" l="1"/>
  <c r="G12" i="4" s="1"/>
  <c r="C9" i="4"/>
  <c r="C12" i="4" s="1"/>
  <c r="C24" i="4" s="1"/>
  <c r="I30" i="4" s="1"/>
  <c r="I31" i="4" s="1"/>
  <c r="J31" i="4" s="1"/>
  <c r="G24" i="4" l="1"/>
  <c r="C30" i="4"/>
  <c r="E30" i="4"/>
  <c r="F30" i="4"/>
  <c r="D30" i="4"/>
  <c r="C33" i="4"/>
  <c r="L10" i="1"/>
  <c r="G30" i="4" l="1"/>
  <c r="G33" i="4"/>
  <c r="G34" i="4" s="1"/>
  <c r="C34" i="4"/>
  <c r="E34" i="4"/>
  <c r="D34" i="4"/>
  <c r="F34" i="4"/>
  <c r="N16" i="4"/>
  <c r="L26" i="4" l="1"/>
  <c r="G37" i="4"/>
  <c r="F30" i="1"/>
  <c r="G25" i="1" s="1"/>
  <c r="N24" i="4"/>
  <c r="G12" i="1" l="1"/>
  <c r="G24" i="1"/>
  <c r="G19" i="1"/>
  <c r="G20" i="1"/>
  <c r="N19" i="1"/>
  <c r="N20" i="1"/>
  <c r="N13" i="1"/>
  <c r="N14" i="1"/>
  <c r="G14" i="1"/>
  <c r="G13" i="1"/>
  <c r="G27" i="1"/>
  <c r="G28" i="1"/>
  <c r="G26" i="1"/>
  <c r="N28" i="1"/>
  <c r="N26" i="1"/>
  <c r="N27" i="1"/>
  <c r="N12" i="1"/>
  <c r="N18" i="1"/>
  <c r="G18" i="1"/>
  <c r="I3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tc={71FF765D-1B0D-4DF3-BD05-3BF9F8827733}</author>
    <author>tc={CB2FF28F-2F6E-4843-B2AC-92191A8D84C9}</author>
    <author>tc={7E2A75E2-0B1D-47D7-BA7A-F25B21B42A62}</author>
    <author>tc={E7FC4CD7-B562-4893-A316-944E88AD5D93}</author>
    <author>tc={87886D7F-E6D9-4AD6-99FB-2117E2EBC4C2}</author>
    <author>tc={E6DF742D-DD20-4D3C-A59C-6AFDD2F952F6}</author>
    <author>tc={7B7140F8-E181-41C3-98BA-2875A6DAA9D2}</author>
    <author>tc={8D16BC1A-1878-4A14-9D12-C8DE69C2891B}</author>
  </authors>
  <commentList>
    <comment ref="H137" authorId="0" shapeId="0" xr:uid="{71FF765D-1B0D-4DF3-BD05-3BF9F8827733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22.147 is zelf opgewekte duurzame elektra Zonne-energie 29.598 kolom M rij 25 – teruglevering elektra 7.451 kolom M rij 28 komt op die 22.147</t>
      </text>
    </comment>
    <comment ref="H155" authorId="1" shapeId="0" xr:uid="{CB2FF28F-2F6E-4843-B2AC-92191A8D84C9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Met terugwerkende kracht aangepast, lijkt een fout te zijn geweest in 2022. Er stond eerst 281.120 km. Dit kan echter niet teruggevonden worden in de bronbestanden</t>
      </text>
    </comment>
    <comment ref="H185" authorId="2" shapeId="0" xr:uid="{7E2A75E2-0B1D-47D7-BA7A-F25B21B42A62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= 33.235- 4.343
Beantwoorden:
    Opwek - teruglevering</t>
      </text>
    </comment>
    <comment ref="P186" authorId="3" shapeId="0" xr:uid="{E7FC4CD7-B562-4893-A316-944E88AD5D93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Heet overig in bronbestand</t>
      </text>
    </comment>
    <comment ref="H187" authorId="4" shapeId="0" xr:uid="{87886D7F-E6D9-4AD6-99FB-2117E2EBC4C2}">
      <text>
        <t xml:space="preserve"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Gasverbruik dienstwoningen zit bij facilitair, gasketels gemalen zijn vervangen in watersysteem, dus 0 klopt.
</t>
      </text>
    </comment>
    <comment ref="H195" authorId="5" shapeId="0" xr:uid="{E6DF742D-DD20-4D3C-A59C-6AFDD2F952F6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Er is geen sliblijn meer bij AWZI NWA, dus klopt geen biogas meer!</t>
      </text>
    </comment>
    <comment ref="H217" authorId="6" shapeId="0" xr:uid="{7B7140F8-E181-41C3-98BA-2875A6DAA9D2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Declaratie bedrag aangepast naar nieuwe markt normen: https://www.ondernemenmetpersoneel.nl/orienteren/personeelskosten/reiskostenvergoeding-2023</t>
      </text>
    </comment>
    <comment ref="H225" authorId="7" shapeId="0" xr:uid="{8D16BC1A-1878-4A14-9D12-C8DE69C2891B}">
      <text>
        <t xml:space="preserve"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Kosten per km is 0,14 euro. 
</t>
      </text>
    </comment>
  </commentList>
</comments>
</file>

<file path=xl/sharedStrings.xml><?xml version="1.0" encoding="utf-8"?>
<sst xmlns="http://schemas.openxmlformats.org/spreadsheetml/2006/main" count="2216" uniqueCount="246">
  <si>
    <t>ORGANISATIE</t>
  </si>
  <si>
    <t>Hoogheemraadschap van Delfland</t>
  </si>
  <si>
    <r>
      <t>SELECTIETOOL M1. OVERZICHT CO</t>
    </r>
    <r>
      <rPr>
        <b/>
        <vertAlign val="subscript"/>
        <sz val="12"/>
        <color theme="0"/>
        <rFont val="Verdana"/>
        <family val="2"/>
      </rPr>
      <t>2</t>
    </r>
    <r>
      <rPr>
        <b/>
        <sz val="12"/>
        <color theme="0"/>
        <rFont val="Verdana"/>
        <family val="2"/>
      </rPr>
      <t>-EMISSIES, GEHELE ORGANISATIE</t>
    </r>
  </si>
  <si>
    <r>
      <t>SELECTIETOOL M2. OVERZICHT CO</t>
    </r>
    <r>
      <rPr>
        <b/>
        <vertAlign val="subscript"/>
        <sz val="12"/>
        <color theme="0"/>
        <rFont val="Verdana"/>
        <family val="2"/>
      </rPr>
      <t>2</t>
    </r>
    <r>
      <rPr>
        <b/>
        <sz val="12"/>
        <color theme="0"/>
        <rFont val="Verdana"/>
        <family val="2"/>
      </rPr>
      <t>-EMISSIES, PER AFDELING</t>
    </r>
  </si>
  <si>
    <t>VARIABELE</t>
  </si>
  <si>
    <t>KEUZE</t>
  </si>
  <si>
    <t>Jaar</t>
  </si>
  <si>
    <t>Organisatie</t>
  </si>
  <si>
    <t>Delfland</t>
  </si>
  <si>
    <t>Type footprint</t>
  </si>
  <si>
    <t>Heel jaar</t>
  </si>
  <si>
    <r>
      <t>OVERZICHT CO</t>
    </r>
    <r>
      <rPr>
        <b/>
        <vertAlign val="subscript"/>
        <sz val="12"/>
        <color theme="0"/>
        <rFont val="Verdana"/>
        <family val="2"/>
      </rPr>
      <t>2</t>
    </r>
    <r>
      <rPr>
        <b/>
        <sz val="12"/>
        <color theme="0"/>
        <rFont val="Verdana"/>
        <family val="2"/>
      </rPr>
      <t>-EMISSIES, GEHELE ORGANISATIE</t>
    </r>
  </si>
  <si>
    <r>
      <t>TABEL M2. OVERZICHT CO</t>
    </r>
    <r>
      <rPr>
        <b/>
        <vertAlign val="subscript"/>
        <sz val="12"/>
        <color theme="0"/>
        <rFont val="Verdana"/>
        <family val="2"/>
      </rPr>
      <t>2</t>
    </r>
    <r>
      <rPr>
        <b/>
        <sz val="12"/>
        <color theme="0"/>
        <rFont val="Verdana"/>
        <family val="2"/>
      </rPr>
      <t>-EMISSIES</t>
    </r>
  </si>
  <si>
    <t>TYPE EMISSIESTROOM SCOPE 1</t>
  </si>
  <si>
    <t>AANTAL</t>
  </si>
  <si>
    <t>EENHEID</t>
  </si>
  <si>
    <r>
      <t xml:space="preserve">CONVERSIEFACTOR 
</t>
    </r>
    <r>
      <rPr>
        <sz val="9.5"/>
        <rFont val="Verdana"/>
        <family val="2"/>
      </rPr>
      <t>(g CO</t>
    </r>
    <r>
      <rPr>
        <vertAlign val="subscript"/>
        <sz val="9.5"/>
        <rFont val="Verdana"/>
        <family val="2"/>
      </rPr>
      <t>2</t>
    </r>
    <r>
      <rPr>
        <sz val="9.5"/>
        <rFont val="Verdana"/>
        <family val="2"/>
      </rPr>
      <t xml:space="preserve"> per eenheid)</t>
    </r>
  </si>
  <si>
    <r>
      <t xml:space="preserve">UITSTOOT
</t>
    </r>
    <r>
      <rPr>
        <sz val="9.5"/>
        <rFont val="Verdana"/>
        <family val="2"/>
      </rPr>
      <t>(ton CO</t>
    </r>
    <r>
      <rPr>
        <vertAlign val="subscript"/>
        <sz val="9.5"/>
        <rFont val="Verdana"/>
        <family val="2"/>
      </rPr>
      <t>2</t>
    </r>
    <r>
      <rPr>
        <sz val="9.5"/>
        <rFont val="Verdana"/>
        <family val="2"/>
      </rPr>
      <t>)</t>
    </r>
  </si>
  <si>
    <t>Aardgasverbruik</t>
  </si>
  <si>
    <r>
      <t>m</t>
    </r>
    <r>
      <rPr>
        <vertAlign val="superscript"/>
        <sz val="9"/>
        <color theme="1"/>
        <rFont val="Verdana"/>
        <family val="2"/>
      </rPr>
      <t>3</t>
    </r>
  </si>
  <si>
    <t>Brandstofverbruik - diesel</t>
  </si>
  <si>
    <t>liter</t>
  </si>
  <si>
    <t>Brandstofverbruik - benzine</t>
  </si>
  <si>
    <t>Totaal scope 1</t>
  </si>
  <si>
    <t>TYPE EMISSIESTROOM SCOPE 2</t>
  </si>
  <si>
    <t>Elektriciteitsverbruik - grijze stroom</t>
  </si>
  <si>
    <t>kWh</t>
  </si>
  <si>
    <t>Elektriciteitsverbruik - groene stroom</t>
  </si>
  <si>
    <t>Elektriciteitsverbruik - wagens</t>
  </si>
  <si>
    <t>Totaal scope 2</t>
  </si>
  <si>
    <t>TYPE EMISSIESTROOM BUSINESS TRAVEL</t>
  </si>
  <si>
    <t>Zakelijk vervoer - gedeclareerde kilometers</t>
  </si>
  <si>
    <t>km</t>
  </si>
  <si>
    <t>Zakelijk vervoer - openbaar vervoer</t>
  </si>
  <si>
    <t>Vliegreizen &lt;700 km</t>
  </si>
  <si>
    <t>Vliegreizen 700-2500 km</t>
  </si>
  <si>
    <t>Vliegreizen &gt;2500 km</t>
  </si>
  <si>
    <t>Totaal business travel</t>
  </si>
  <si>
    <t>TOTALE EMISSIES SCOPE 1, 2 EN BUSINESS TRAVEL</t>
  </si>
  <si>
    <t>TYPE EMISSIESTROOM MEMO ITEMS</t>
  </si>
  <si>
    <t>Biogas inzet WKK</t>
  </si>
  <si>
    <t>m3</t>
  </si>
  <si>
    <t>Biogas afgefakkeld</t>
  </si>
  <si>
    <t>Tabel M1A. Input voor samenvattend figuur CO2-footprint</t>
  </si>
  <si>
    <t>Type</t>
  </si>
  <si>
    <r>
      <rPr>
        <b/>
        <sz val="12"/>
        <color theme="0"/>
        <rFont val="Verdana"/>
        <family val="2"/>
      </rPr>
      <t xml:space="preserve">Emissies
</t>
    </r>
    <r>
      <rPr>
        <sz val="12"/>
        <color theme="0"/>
        <rFont val="Verdana"/>
        <family val="2"/>
      </rPr>
      <t>(ton CO2)</t>
    </r>
  </si>
  <si>
    <t>Brandstofverbruik diesel</t>
  </si>
  <si>
    <t>Brandstofverbruik wagenpark benzine</t>
  </si>
  <si>
    <t>Elektriciteitsverbruik vastgoed</t>
  </si>
  <si>
    <t>Elektriciteitsverbruik wagenpark</t>
  </si>
  <si>
    <t>Zakelijk vervoer</t>
  </si>
  <si>
    <t>Vliegreizen</t>
  </si>
  <si>
    <t>SELECTIETOOL V2 - FOOTPRINT PER ORGANISATIE</t>
  </si>
  <si>
    <t>GR AQUON</t>
  </si>
  <si>
    <r>
      <t>VOORTGANG JAARLIJKSE CO</t>
    </r>
    <r>
      <rPr>
        <b/>
        <vertAlign val="subscript"/>
        <sz val="12"/>
        <color theme="0"/>
        <rFont val="Verdana"/>
        <family val="2"/>
      </rPr>
      <t>2</t>
    </r>
    <r>
      <rPr>
        <b/>
        <sz val="12"/>
        <color theme="0"/>
        <rFont val="Verdana"/>
        <family val="2"/>
      </rPr>
      <t>-EMISSIES, GEHELE ORGANISATIE</t>
    </r>
  </si>
  <si>
    <r>
      <t>TABEL V2. VOORTGANG JAARLIJKSE CO</t>
    </r>
    <r>
      <rPr>
        <b/>
        <vertAlign val="subscript"/>
        <sz val="12"/>
        <color theme="0"/>
        <rFont val="Verdana"/>
        <family val="2"/>
      </rPr>
      <t>2</t>
    </r>
    <r>
      <rPr>
        <b/>
        <sz val="12"/>
        <color theme="0"/>
        <rFont val="Verdana"/>
        <family val="2"/>
      </rPr>
      <t>-EMISSIES, PER ORGANISATIE</t>
    </r>
  </si>
  <si>
    <t>Half jaar</t>
  </si>
  <si>
    <t>Prognose</t>
  </si>
  <si>
    <t>TOTAAL SCOPE 1</t>
  </si>
  <si>
    <t>TOTAAL SCOPE 2</t>
  </si>
  <si>
    <t>TOTAAL BUSINESS TRAVEL</t>
  </si>
  <si>
    <t>TOTALE EMISSIES</t>
  </si>
  <si>
    <t>VOORTGANG JAARLIJKSE CO2-EMISSIES, GEHELE ORGANISATIE</t>
  </si>
  <si>
    <t>Absolute voortgang</t>
  </si>
  <si>
    <t>Verwachting doelstelling</t>
  </si>
  <si>
    <t>x1000</t>
  </si>
  <si>
    <t>Uitstoot per kengetal</t>
  </si>
  <si>
    <t>Relatieve voortgang verpompt afvalwater</t>
  </si>
  <si>
    <r>
      <t>TABEL V3. VOORTGANG HALFJAARLIJKSE CO</t>
    </r>
    <r>
      <rPr>
        <b/>
        <vertAlign val="subscript"/>
        <sz val="12"/>
        <rFont val="Verdana"/>
        <family val="2"/>
      </rPr>
      <t>2</t>
    </r>
    <r>
      <rPr>
        <b/>
        <sz val="12"/>
        <rFont val="Verdana"/>
        <family val="2"/>
      </rPr>
      <t>-EMISSIES, GEHELE ORGANISATIE</t>
    </r>
  </si>
  <si>
    <r>
      <t>TABEL V3. VOORTGANG HALFJAARLIJKSE CO</t>
    </r>
    <r>
      <rPr>
        <b/>
        <vertAlign val="subscript"/>
        <sz val="12"/>
        <rFont val="Verdana"/>
        <family val="2"/>
      </rPr>
      <t>2</t>
    </r>
    <r>
      <rPr>
        <b/>
        <sz val="12"/>
        <rFont val="Verdana"/>
        <family val="2"/>
      </rPr>
      <t>-EMISSIES, PER ORGANISATIE</t>
    </r>
  </si>
  <si>
    <t>Brandstofverbruik bedrijfsmiddelen - diesel</t>
  </si>
  <si>
    <t>Brandstofverbruik wagenpark - diesel</t>
  </si>
  <si>
    <t>Brandstofverbruik wagenpark - benzine</t>
  </si>
  <si>
    <t>Brandstofverbruik wagenpark - HVO</t>
  </si>
  <si>
    <t>Brandstofverbruik wagenpark - LPG</t>
  </si>
  <si>
    <t>Brandstofverbruik wagenpark - CNG</t>
  </si>
  <si>
    <t>Warmtelevering - STEG centrale</t>
  </si>
  <si>
    <t>TABEL V3A. VOORTGANG HALFJAARLIJKSE CO2-EMISSIES, GEHELE ORGANISATIE</t>
  </si>
  <si>
    <t>Tabel V4A. VOORTGANG HALFJAARLIJKSE CO2-EMISSIES, PER ORGANISATIE</t>
  </si>
  <si>
    <t>Relatieve voortgang omzet</t>
  </si>
  <si>
    <t>Relatieve voortgang FTE</t>
  </si>
  <si>
    <t>Relatieve voortgang kilometers</t>
  </si>
  <si>
    <t>INPUTDATA CO2-FOOTPRINT</t>
  </si>
  <si>
    <r>
      <t xml:space="preserve">ORGANISATIE </t>
    </r>
    <r>
      <rPr>
        <sz val="9.5"/>
        <rFont val="Verdana"/>
        <family val="2"/>
      </rPr>
      <t>(IDENTIFICATIE)</t>
    </r>
  </si>
  <si>
    <t>% IN BOUNDARY</t>
  </si>
  <si>
    <t>JAAR</t>
  </si>
  <si>
    <t>TYPE FOOTPRINT</t>
  </si>
  <si>
    <r>
      <t xml:space="preserve">SCOPE EMISSIES </t>
    </r>
    <r>
      <rPr>
        <sz val="9.5"/>
        <rFont val="Verdana"/>
        <family val="2"/>
      </rPr>
      <t>(SCOPE 1, 2 EN BT)</t>
    </r>
  </si>
  <si>
    <t>EMISSIESTROOM</t>
  </si>
  <si>
    <t>AANTAL IN FOOTPRINT (OBV % IN BOUNDARY)</t>
  </si>
  <si>
    <r>
      <t>EENHEID</t>
    </r>
    <r>
      <rPr>
        <sz val="9.5"/>
        <rFont val="Verdana"/>
        <family val="2"/>
      </rPr>
      <t xml:space="preserve"> (AANSLUITEND OP AANTAL)</t>
    </r>
  </si>
  <si>
    <t>EMISSIE-FACTOR</t>
  </si>
  <si>
    <r>
      <t xml:space="preserve">EENHEID </t>
    </r>
    <r>
      <rPr>
        <sz val="8"/>
        <rFont val="Verdana"/>
        <family val="2"/>
      </rPr>
      <t>(AANSLUITEND OP EMISSIEFACTOR)</t>
    </r>
  </si>
  <si>
    <r>
      <t xml:space="preserve">CO2-UITSTOOT </t>
    </r>
    <r>
      <rPr>
        <sz val="9"/>
        <rFont val="Verdana"/>
        <family val="2"/>
      </rPr>
      <t>(TON)</t>
    </r>
  </si>
  <si>
    <r>
      <t xml:space="preserve">BRONGEGEVENS                                    </t>
    </r>
    <r>
      <rPr>
        <sz val="9.5"/>
        <rFont val="Verdana"/>
        <family val="2"/>
      </rPr>
      <t>(BESTANDSNAAM)</t>
    </r>
  </si>
  <si>
    <t>TOELICHTING</t>
  </si>
  <si>
    <t>VESTIGING</t>
  </si>
  <si>
    <t>GJ PER EENHEID</t>
  </si>
  <si>
    <t>GJ</t>
  </si>
  <si>
    <t>Hoeveelheid verpompt afvalwater</t>
  </si>
  <si>
    <t>Z-info</t>
  </si>
  <si>
    <t>Klimaatmonitor Delfland verslagjaar 2019, tabblad energie</t>
  </si>
  <si>
    <t>Rij 17</t>
  </si>
  <si>
    <t>Watersystemen</t>
  </si>
  <si>
    <t>Facilitair</t>
  </si>
  <si>
    <t>Nieuwe Waterweg</t>
  </si>
  <si>
    <t>Rij 22, biomassa</t>
  </si>
  <si>
    <t>Houtrust</t>
  </si>
  <si>
    <t>Groote Lucht</t>
  </si>
  <si>
    <t>Rij 17, Europese stroom</t>
  </si>
  <si>
    <t>Harnaschpolder</t>
  </si>
  <si>
    <t>Rij 24</t>
  </si>
  <si>
    <t>Rij 45</t>
  </si>
  <si>
    <t>Rij 92</t>
  </si>
  <si>
    <t>Rij 84</t>
  </si>
  <si>
    <t>Rij 103</t>
  </si>
  <si>
    <t>Klimaatmonitor Delfland verslagjaar 2019, tabblad personenmobiliteit</t>
  </si>
  <si>
    <t>Rij 6</t>
  </si>
  <si>
    <t>Rij 8</t>
  </si>
  <si>
    <t>Rij 11</t>
  </si>
  <si>
    <t>Rij 27, declaraties dienstreizen</t>
  </si>
  <si>
    <t>Rij 29, woon/werk km´s</t>
  </si>
  <si>
    <t>Zakelijk vervoer - treinkilometers</t>
  </si>
  <si>
    <t>Rij 37</t>
  </si>
  <si>
    <t>GR Slibverwerking 2009 - 2019 en 2020</t>
  </si>
  <si>
    <t>Milieujaarverslag Slibverbrandingsinstallatie 2020, pagina 22</t>
  </si>
  <si>
    <t>GR Slibverwerking 2009</t>
  </si>
  <si>
    <t>GR RBG</t>
  </si>
  <si>
    <t>Gas en elektra vastgoed Schiedam</t>
  </si>
  <si>
    <t>CO2-ladder 2019-2021 AQUON</t>
  </si>
  <si>
    <t>Brandstof Aquon 2019, 2020 en 2021</t>
  </si>
  <si>
    <t>Klimaatmonitor Delfland verslagjaar 2020, tabblad energie</t>
  </si>
  <si>
    <t>Rij 25 min rij 28</t>
  </si>
  <si>
    <t>Biogas gespuid</t>
  </si>
  <si>
    <t>Klimaatmonitor Delfland verslagjaar 2020, tabblad personenmobiliteit</t>
  </si>
  <si>
    <t>Rij 55, woon-werk verkeer</t>
  </si>
  <si>
    <t>Rij 49</t>
  </si>
  <si>
    <t>Rij 64</t>
  </si>
  <si>
    <t>Woon-werk i.p.v. zakelijk, geen onderscheid van NS</t>
  </si>
  <si>
    <t>Rij 51</t>
  </si>
  <si>
    <t>Milieujaarverslag Slibverbrandingsinstallatie 2020, pagina 90</t>
  </si>
  <si>
    <t>HDD- Uitvraag Waterschappen verslagjaar 2021 versie 5 - tabblad Energie</t>
  </si>
  <si>
    <t>Rij 18</t>
  </si>
  <si>
    <t>Rij 25 min 28</t>
  </si>
  <si>
    <t>Rij 93</t>
  </si>
  <si>
    <t>Rij 101</t>
  </si>
  <si>
    <t>Rij 112</t>
  </si>
  <si>
    <t>HDD- Uitvraag Waterschappen verslagjaar 2021 versie 5 - tabblad personenmobiliteit</t>
  </si>
  <si>
    <t>GR Slibverwerking 2009 - 2021 en 2022</t>
  </si>
  <si>
    <t>Mail Wiebe Bosma 15/4/22 HHSK</t>
  </si>
  <si>
    <t>Klimaatmonitor Delfland verslagjaar 2022, tabblad energie</t>
  </si>
  <si>
    <t>Klimaatmonitor Delfland verslagjaar 2022, tabblad personenmobiliteit</t>
  </si>
  <si>
    <t>Verbruik elektrische auto's - kilometers (groene stroom)</t>
  </si>
  <si>
    <t>Groene stroom km elektrisch</t>
  </si>
  <si>
    <t>Data declaraties 2022</t>
  </si>
  <si>
    <t>Mail Wiebe Bosma 11/5/23</t>
  </si>
  <si>
    <t>Schatting o.b.v. 2021</t>
  </si>
  <si>
    <t>Mail Wim Janssen 2/5/23</t>
  </si>
  <si>
    <t>AQUON CO2-LADDER 2019-2022</t>
  </si>
  <si>
    <t>GR AquaMinerals 2022</t>
  </si>
  <si>
    <t>Mail Anne Marieke AquaMinerals 10/1/22 van Aalke Lida de Jong</t>
  </si>
  <si>
    <t>GR AquaMinerals</t>
  </si>
  <si>
    <t>CO2PL basisoverzicht Waternet</t>
  </si>
  <si>
    <t>zie mail Sandra Broekhof 28 mei 2024</t>
  </si>
  <si>
    <t>Klimaatmonitor Delfland verslagjaar 2023, tabblad energie</t>
  </si>
  <si>
    <t>Klimaatmonitor Delfland verslagjaar 2023, tabblad personenmobiliteit</t>
  </si>
  <si>
    <t>Stroomverbruik externe laadpalen onbekend</t>
  </si>
  <si>
    <t>Mail Mark 15-05</t>
  </si>
  <si>
    <t>Pag. 18 SVI MJV 2023 Definitief 2 pag per blz Slibverwerking</t>
  </si>
  <si>
    <t>Mail willem jansen 13-05 Het totale gebouw is 6113 m2 - De RBG heeft 2922,2 m2 in gebruik</t>
  </si>
  <si>
    <t>CO2-ladder 2023 AQUON</t>
  </si>
  <si>
    <t>GR AquaMinerals 2023</t>
  </si>
  <si>
    <t>Mail Waternet 14 mei 2024</t>
  </si>
  <si>
    <t>Zie bestand "aqm - verbruiksgegevens mobiliteit"</t>
  </si>
  <si>
    <t>Gebaseerd op 2022</t>
  </si>
  <si>
    <t>Halfjaarlijkse CO2-voetafdruk 2024</t>
  </si>
  <si>
    <t>Bedrijfsmiddelen</t>
  </si>
  <si>
    <t>Eigen laadpalen</t>
  </si>
  <si>
    <t>Extern geladen</t>
  </si>
  <si>
    <t>Data NAVI overzicht gas verbruik 1e helft 2024</t>
  </si>
  <si>
    <t>Jaarlijkse data /2</t>
  </si>
  <si>
    <t>sdf</t>
  </si>
  <si>
    <t>sdfsd</t>
  </si>
  <si>
    <t>SELECTIETOOL E1. OVERZICHT ENERGIEVERBRUIK, GEHELE ORGANISATIE</t>
  </si>
  <si>
    <t>SELECTIETOOL E2 - ENERGIEVERBRUIK PER ORGANISATIE</t>
  </si>
  <si>
    <t xml:space="preserve">OVERZICHT ENERGIEVERBRUIK GJ, GEHELE ORGANISATIE	</t>
  </si>
  <si>
    <t xml:space="preserve">TABEL E2. OVERZICHT ENERGIEVERBRUIK, PER ORGANISATIE	</t>
  </si>
  <si>
    <t>ENERGIEDRAGER</t>
  </si>
  <si>
    <r>
      <t xml:space="preserve">CONVERSIEFACTOR 
</t>
    </r>
    <r>
      <rPr>
        <sz val="9"/>
        <color theme="1"/>
        <rFont val="Verdana"/>
        <family val="2"/>
      </rPr>
      <t>(g CO</t>
    </r>
    <r>
      <rPr>
        <vertAlign val="sub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 xml:space="preserve"> per eenheid)</t>
    </r>
  </si>
  <si>
    <t>VERBRUIK (GJ)</t>
  </si>
  <si>
    <t>kg</t>
  </si>
  <si>
    <t>TOTAAL ENERGIEVERBRUIK</t>
  </si>
  <si>
    <t>Tabel A. Aardgasverbruik per vestiging</t>
  </si>
  <si>
    <t>Tabel B. Elektriciteitsverbruik per vestiging</t>
  </si>
  <si>
    <t>Vestiging</t>
  </si>
  <si>
    <t>Totaal</t>
  </si>
  <si>
    <t>Tabel C. Brandstof per soort</t>
  </si>
  <si>
    <t>Tabel D. Zakelijk vervoer per soort</t>
  </si>
  <si>
    <t>Benzine</t>
  </si>
  <si>
    <t>Gedeclareerde kilometers</t>
  </si>
  <si>
    <t>Diesel</t>
  </si>
  <si>
    <t>Openbaar vervoer</t>
  </si>
  <si>
    <t>Elektriciteit</t>
  </si>
  <si>
    <t>Treinkilometers</t>
  </si>
  <si>
    <t>Vliegreizen 700-2500</t>
  </si>
  <si>
    <t>Vliegreizen &gt;2500</t>
  </si>
  <si>
    <t>TABEL X1. OVERZICHT KEUZEVARIABELEN IN KEUZEMENU'S</t>
  </si>
  <si>
    <t>ORGANISATIES</t>
  </si>
  <si>
    <t>JAARTALLEN</t>
  </si>
  <si>
    <t>SCOPE</t>
  </si>
  <si>
    <t>EMISSIEFACTOR</t>
  </si>
  <si>
    <t>ENERGIESTROOM</t>
  </si>
  <si>
    <t>CONVERSIEFACTOR</t>
  </si>
  <si>
    <t>KPI</t>
  </si>
  <si>
    <t>https://www.infomil.nl/link-aim/tabel/</t>
  </si>
  <si>
    <t>gram CO2/m3</t>
  </si>
  <si>
    <t>Memo</t>
  </si>
  <si>
    <t>Biomassa</t>
  </si>
  <si>
    <t>gram CO2/kg</t>
  </si>
  <si>
    <t>gram CO2/liter</t>
  </si>
  <si>
    <t>Brandstofverbruik - HVO</t>
  </si>
  <si>
    <t>Brandstofverbruik - LPG</t>
  </si>
  <si>
    <t>Brandstofverbruik - CNG</t>
  </si>
  <si>
    <t>gram CO2/kWh</t>
  </si>
  <si>
    <t>gram CO2/GJ</t>
  </si>
  <si>
    <t>Warmte</t>
  </si>
  <si>
    <t>bt</t>
  </si>
  <si>
    <t>gram CO2/km</t>
  </si>
  <si>
    <t>Verbruik elektrische auto's - kilometers</t>
  </si>
  <si>
    <t>Brandstofverbruik - HVO100</t>
  </si>
  <si>
    <t>Brandstofverbruik - HVO20</t>
  </si>
  <si>
    <t>Brandstofverbruik - HVO50</t>
  </si>
  <si>
    <t>Waterstof - grijs</t>
  </si>
  <si>
    <t>Waterstof - groen</t>
  </si>
  <si>
    <t>Propaan</t>
  </si>
  <si>
    <t>Zakelijk vervoer - trein (type onbekend)</t>
  </si>
  <si>
    <t>Zakelijk vervoer - gedeclareerde kilometers (diesel)</t>
  </si>
  <si>
    <t>Zakelijk vervoer - gedeclareerde kilometers (benzine)</t>
  </si>
  <si>
    <t>Zakelijk vervoer - gedeclareerde kilometers (hybride)</t>
  </si>
  <si>
    <t>Zakelijk vervoer - gedeclareerde kilometers (elektrisch - grijs)</t>
  </si>
  <si>
    <t>Zakelijk vervoer - gedeclareerde kilometers (elektrisch - groen)</t>
  </si>
  <si>
    <t>Zakelijk vervoer - trein (internationaal)</t>
  </si>
  <si>
    <t>Zakelijk vervoer - openbaar vervoer (bus, tram, metro)</t>
  </si>
  <si>
    <t>Zakelijk vervoer - openbaar vervoer (bus)</t>
  </si>
  <si>
    <t>Zakelijk vervoer - openbaar vervoer (tram)</t>
  </si>
  <si>
    <t>Zakelijk vervoer - openbaar vervoer (metro)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</si>
</sst>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  <numFmt numFmtId="166" formatCode="_ * #,##0.0_ ;_ * \-#,##0.0_ ;_ * &quot;-&quot;?_ ;_ @_ "/>
    <numFmt numFmtId="167" formatCode="_-* #,##0.00_-;\-* #,##0.00_-;_-* &quot;-&quot;??_-;_-@_-"/>
    <numFmt numFmtId="168" formatCode="#,##0.00000"/>
    <numFmt numFmtId="169" formatCode="0.000"/>
    <numFmt numFmtId="170" formatCode="0.0%"/>
    <numFmt numFmtId="171" formatCode="0.0000%"/>
    <numFmt numFmtId="172" formatCode="_-* #,##0.00_-;_-* #,##0.00\-;_-* &quot;-&quot;??_-;_-@_-"/>
  </numFmts>
  <fonts count="47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2"/>
      <color theme="0"/>
      <name val="Verdana"/>
      <family val="2"/>
    </font>
    <font>
      <sz val="12"/>
      <color theme="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12"/>
      <color rgb="FFFFFFFF"/>
      <name val="Verdana"/>
      <family val="2"/>
    </font>
    <font>
      <sz val="10"/>
      <name val="Arial"/>
      <family val="2"/>
    </font>
    <font>
      <b/>
      <vertAlign val="subscript"/>
      <sz val="12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vertAlign val="superscript"/>
      <sz val="9"/>
      <color theme="1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9.5"/>
      <color theme="1"/>
      <name val="Verdana"/>
      <family val="2"/>
    </font>
    <font>
      <sz val="9.5"/>
      <color theme="1"/>
      <name val="Verdana"/>
      <family val="2"/>
    </font>
    <font>
      <sz val="9.5"/>
      <color rgb="FF000000"/>
      <name val="Verdana"/>
      <family val="2"/>
    </font>
    <font>
      <b/>
      <sz val="9.5"/>
      <name val="Verdana"/>
      <family val="2"/>
    </font>
    <font>
      <sz val="9.5"/>
      <name val="Verdana"/>
      <family val="2"/>
    </font>
    <font>
      <vertAlign val="subscript"/>
      <sz val="9.5"/>
      <name val="Verdana"/>
      <family val="2"/>
    </font>
    <font>
      <b/>
      <sz val="9"/>
      <color rgb="FF000000"/>
      <name val="Verdana"/>
      <family val="2"/>
    </font>
    <font>
      <b/>
      <sz val="12"/>
      <color rgb="FF000000"/>
      <name val="Verdana"/>
      <family val="2"/>
    </font>
    <font>
      <sz val="10"/>
      <color theme="1"/>
      <name val="Verdana"/>
      <family val="2"/>
    </font>
    <font>
      <sz val="11"/>
      <color theme="1"/>
      <name val="Arial"/>
      <family val="2"/>
    </font>
    <font>
      <sz val="11"/>
      <color theme="1"/>
      <name val="Verdana"/>
      <family val="2"/>
    </font>
    <font>
      <sz val="11"/>
      <name val="Verdana"/>
      <family val="2"/>
    </font>
    <font>
      <sz val="8"/>
      <color theme="0"/>
      <name val="Verdana"/>
      <family val="2"/>
    </font>
    <font>
      <vertAlign val="subscript"/>
      <sz val="9"/>
      <color theme="1"/>
      <name val="Verdana"/>
      <family val="2"/>
    </font>
    <font>
      <b/>
      <vertAlign val="subscript"/>
      <sz val="12"/>
      <color theme="0"/>
      <name val="Verdana"/>
      <family val="2"/>
    </font>
    <font>
      <b/>
      <sz val="9.5"/>
      <color theme="0"/>
      <name val="Verdana"/>
      <family val="2"/>
    </font>
    <font>
      <sz val="11"/>
      <color theme="0"/>
      <name val="Verdana"/>
      <family val="2"/>
    </font>
    <font>
      <b/>
      <sz val="9"/>
      <color theme="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i/>
      <sz val="10"/>
      <color theme="9" tint="-0.499984740745262"/>
      <name val="Arial"/>
      <family val="2"/>
    </font>
    <font>
      <i/>
      <sz val="10"/>
      <color theme="3"/>
      <name val="Arial"/>
      <family val="2"/>
    </font>
    <font>
      <i/>
      <sz val="10"/>
      <color theme="2"/>
      <name val="Arial"/>
      <family val="2"/>
    </font>
    <font>
      <sz val="11"/>
      <color theme="0"/>
      <name val="Arial"/>
      <family val="2"/>
    </font>
    <font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61B57D"/>
        <bgColor rgb="FF61B57D"/>
      </patternFill>
    </fill>
    <fill>
      <patternFill patternType="solid">
        <fgColor rgb="FF7F7F7F"/>
        <bgColor rgb="FF7F7F7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61B57D"/>
      </patternFill>
    </fill>
    <fill>
      <patternFill patternType="solid">
        <fgColor theme="0"/>
        <bgColor rgb="FF7F7F7F"/>
      </patternFill>
    </fill>
    <fill>
      <patternFill patternType="solid">
        <fgColor theme="0"/>
        <bgColor rgb="FFE2EFD9"/>
      </patternFill>
    </fill>
    <fill>
      <patternFill patternType="solid">
        <fgColor rgb="FF6BBC93"/>
        <bgColor rgb="FF61B57D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E2EFD9"/>
      </patternFill>
    </fill>
    <fill>
      <patternFill patternType="solid">
        <fgColor theme="0" tint="-0.14999847407452621"/>
        <bgColor rgb="FF7F7F7F"/>
      </patternFill>
    </fill>
    <fill>
      <patternFill patternType="solid">
        <fgColor theme="0" tint="-0.14999847407452621"/>
        <bgColor rgb="FF61B57D"/>
      </patternFill>
    </fill>
    <fill>
      <patternFill patternType="solid">
        <fgColor theme="0" tint="-0.14999847407452621"/>
        <bgColor theme="0"/>
      </patternFill>
    </fill>
    <fill>
      <patternFill patternType="solid">
        <fgColor rgb="FF6BBC93"/>
        <bgColor rgb="FF7F7F7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BBC93"/>
        <bgColor rgb="FFE2EFD9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6BBC93"/>
      </patternFill>
    </fill>
    <fill>
      <patternFill patternType="solid">
        <fgColor rgb="FF224F92"/>
        <bgColor rgb="FF61B57D"/>
      </patternFill>
    </fill>
    <fill>
      <patternFill patternType="solid">
        <fgColor rgb="FF224F92"/>
        <bgColor rgb="FF7F7F7F"/>
      </patternFill>
    </fill>
    <fill>
      <patternFill patternType="solid">
        <fgColor rgb="FF224F92"/>
        <bgColor rgb="FFE2EFD9"/>
      </patternFill>
    </fill>
    <fill>
      <patternFill patternType="solid">
        <fgColor rgb="FF224F92"/>
        <bgColor rgb="FF6BBC93"/>
      </patternFill>
    </fill>
    <fill>
      <patternFill patternType="solid">
        <fgColor rgb="FF224F92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5DE8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6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rgb="FF00000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medium">
        <color theme="0"/>
      </right>
      <top style="thick">
        <color theme="0"/>
      </top>
      <bottom style="medium">
        <color theme="0"/>
      </bottom>
      <diagonal/>
    </border>
    <border>
      <left style="medium">
        <color theme="0"/>
      </left>
      <right style="thick">
        <color theme="0"/>
      </right>
      <top style="thick">
        <color theme="0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ck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medium">
        <color theme="0"/>
      </top>
      <bottom style="thick">
        <color theme="0"/>
      </bottom>
      <diagonal/>
    </border>
    <border>
      <left style="medium">
        <color theme="0"/>
      </left>
      <right style="thick">
        <color theme="0"/>
      </right>
      <top style="medium">
        <color theme="0"/>
      </top>
      <bottom style="thick">
        <color theme="0"/>
      </bottom>
      <diagonal/>
    </border>
    <border>
      <left style="thick">
        <color theme="0"/>
      </left>
      <right style="medium">
        <color theme="0"/>
      </right>
      <top style="thick">
        <color theme="0"/>
      </top>
      <bottom style="thick">
        <color theme="0"/>
      </bottom>
      <diagonal/>
    </border>
    <border>
      <left style="medium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rgb="FF00000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ck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indexed="64"/>
      </right>
      <top style="thick">
        <color theme="0"/>
      </top>
      <bottom/>
      <diagonal/>
    </border>
    <border>
      <left style="thin">
        <color indexed="64"/>
      </left>
      <right style="thick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ck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thick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ck">
        <color theme="0"/>
      </bottom>
      <diagonal/>
    </border>
    <border>
      <left/>
      <right style="medium">
        <color theme="0"/>
      </right>
      <top style="thick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ck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ck">
        <color theme="0"/>
      </left>
      <right style="medium">
        <color theme="0"/>
      </right>
      <top style="thin">
        <color indexed="64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thin">
        <color theme="0" tint="-0.249977111117893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0" tint="-0.249977111117893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thick">
        <color theme="0"/>
      </right>
      <top style="medium">
        <color theme="0"/>
      </top>
      <bottom style="thin">
        <color theme="0" tint="-0.249977111117893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 tint="-0.249977111117893"/>
      </bottom>
      <diagonal/>
    </border>
    <border>
      <left style="thick">
        <color theme="0"/>
      </left>
      <right style="medium">
        <color theme="0"/>
      </right>
      <top style="medium">
        <color theme="0"/>
      </top>
      <bottom style="thin">
        <color theme="0" tint="-0.249977111117893"/>
      </bottom>
      <diagonal/>
    </border>
    <border>
      <left style="medium">
        <color theme="0"/>
      </left>
      <right style="thick">
        <color theme="0"/>
      </right>
      <top/>
      <bottom style="medium">
        <color theme="0"/>
      </bottom>
      <diagonal/>
    </border>
    <border>
      <left style="thin">
        <color theme="0" tint="-0.14999847407452621"/>
      </left>
      <right/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thick">
        <color theme="0"/>
      </top>
      <bottom style="thick">
        <color theme="0"/>
      </bottom>
      <diagonal/>
    </border>
    <border>
      <left/>
      <right style="medium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medium">
        <color theme="0"/>
      </right>
      <top/>
      <bottom/>
      <diagonal/>
    </border>
    <border>
      <left style="thick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thick">
        <color theme="0"/>
      </right>
      <top style="medium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ck">
        <color theme="0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thick">
        <color theme="0"/>
      </top>
      <bottom style="thin">
        <color indexed="64"/>
      </bottom>
      <diagonal/>
    </border>
    <border>
      <left style="medium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</borders>
  <cellStyleXfs count="38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11" fillId="0" borderId="1" applyFont="0" applyFill="0" applyBorder="0" applyAlignment="0" applyProtection="0"/>
    <xf numFmtId="0" fontId="27" fillId="0" borderId="1"/>
    <xf numFmtId="0" fontId="8" fillId="0" borderId="1"/>
    <xf numFmtId="9" fontId="8" fillId="0" borderId="1" applyFont="0" applyFill="0" applyBorder="0" applyAlignment="0" applyProtection="0"/>
    <xf numFmtId="0" fontId="38" fillId="0" borderId="1"/>
    <xf numFmtId="0" fontId="39" fillId="0" borderId="1" applyNumberFormat="0" applyFill="0" applyBorder="0" applyAlignment="0" applyProtection="0">
      <alignment vertical="top"/>
      <protection locked="0"/>
    </xf>
    <xf numFmtId="0" fontId="39" fillId="0" borderId="1" applyNumberFormat="0" applyFill="0" applyBorder="0" applyAlignment="0" applyProtection="0">
      <alignment vertical="top"/>
      <protection locked="0"/>
    </xf>
    <xf numFmtId="172" fontId="11" fillId="0" borderId="1" applyFont="0" applyFill="0" applyBorder="0" applyAlignment="0" applyProtection="0"/>
    <xf numFmtId="172" fontId="11" fillId="0" borderId="1" applyFont="0" applyFill="0" applyBorder="0" applyAlignment="0" applyProtection="0"/>
    <xf numFmtId="9" fontId="11" fillId="0" borderId="1" applyFont="0" applyFill="0" applyBorder="0" applyAlignment="0" applyProtection="0"/>
    <xf numFmtId="9" fontId="11" fillId="0" borderId="1" applyFont="0" applyFill="0" applyBorder="0" applyAlignment="0" applyProtection="0"/>
    <xf numFmtId="0" fontId="11" fillId="0" borderId="1"/>
    <xf numFmtId="0" fontId="1" fillId="0" borderId="1"/>
    <xf numFmtId="0" fontId="11" fillId="0" borderId="1"/>
    <xf numFmtId="9" fontId="11" fillId="0" borderId="1" applyFont="0" applyFill="0" applyBorder="0" applyAlignment="0" applyProtection="0"/>
    <xf numFmtId="0" fontId="11" fillId="0" borderId="1"/>
    <xf numFmtId="0" fontId="11" fillId="0" borderId="54" applyNumberFormat="0"/>
    <xf numFmtId="0" fontId="8" fillId="0" borderId="1"/>
    <xf numFmtId="0" fontId="41" fillId="31" borderId="1" applyNumberFormat="0"/>
    <xf numFmtId="0" fontId="40" fillId="32" borderId="54" applyNumberFormat="0"/>
    <xf numFmtId="0" fontId="40" fillId="33" borderId="54" applyNumberFormat="0">
      <protection locked="0"/>
    </xf>
    <xf numFmtId="0" fontId="42" fillId="0" borderId="1" applyNumberFormat="0"/>
    <xf numFmtId="0" fontId="43" fillId="0" borderId="1" applyNumberFormat="0"/>
    <xf numFmtId="0" fontId="44" fillId="0" borderId="1" applyNumberFormat="0"/>
    <xf numFmtId="0" fontId="40" fillId="34" borderId="54" applyNumberFormat="0"/>
    <xf numFmtId="0" fontId="45" fillId="35" borderId="1" applyNumberFormat="0"/>
    <xf numFmtId="9" fontId="1" fillId="0" borderId="1" applyFont="0" applyFill="0" applyBorder="0" applyAlignment="0" applyProtection="0"/>
    <xf numFmtId="0" fontId="1" fillId="0" borderId="1"/>
    <xf numFmtId="0" fontId="46" fillId="0" borderId="1"/>
    <xf numFmtId="9" fontId="46" fillId="0" borderId="1" applyFont="0" applyFill="0" applyBorder="0" applyAlignment="0" applyProtection="0"/>
    <xf numFmtId="0" fontId="46" fillId="30" borderId="1" applyNumberFormat="0" applyBorder="0" applyAlignment="0" applyProtection="0"/>
    <xf numFmtId="43" fontId="46" fillId="0" borderId="1" applyFont="0" applyFill="0" applyBorder="0" applyAlignment="0" applyProtection="0"/>
    <xf numFmtId="0" fontId="11" fillId="0" borderId="1"/>
    <xf numFmtId="9" fontId="46" fillId="0" borderId="1" applyFont="0" applyFill="0" applyBorder="0" applyAlignment="0" applyProtection="0"/>
    <xf numFmtId="0" fontId="46" fillId="0" borderId="1"/>
  </cellStyleXfs>
  <cellXfs count="375">
    <xf numFmtId="0" fontId="0" fillId="0" borderId="0" xfId="0"/>
    <xf numFmtId="0" fontId="3" fillId="2" borderId="1" xfId="0" applyFont="1" applyFill="1" applyBorder="1"/>
    <xf numFmtId="0" fontId="3" fillId="5" borderId="0" xfId="0" applyFont="1" applyFill="1"/>
    <xf numFmtId="0" fontId="2" fillId="2" borderId="1" xfId="0" applyFont="1" applyFill="1" applyBorder="1" applyAlignment="1">
      <alignment horizontal="left"/>
    </xf>
    <xf numFmtId="0" fontId="4" fillId="4" borderId="2" xfId="0" applyFont="1" applyFill="1" applyBorder="1"/>
    <xf numFmtId="0" fontId="5" fillId="4" borderId="2" xfId="0" applyFont="1" applyFill="1" applyBorder="1" applyAlignment="1">
      <alignment wrapText="1"/>
    </xf>
    <xf numFmtId="0" fontId="5" fillId="7" borderId="1" xfId="0" applyFont="1" applyFill="1" applyBorder="1"/>
    <xf numFmtId="0" fontId="3" fillId="5" borderId="1" xfId="0" applyFont="1" applyFill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vertical="center"/>
    </xf>
    <xf numFmtId="164" fontId="2" fillId="8" borderId="1" xfId="0" applyNumberFormat="1" applyFont="1" applyFill="1" applyBorder="1" applyAlignment="1">
      <alignment horizontal="left" vertical="center"/>
    </xf>
    <xf numFmtId="0" fontId="10" fillId="7" borderId="1" xfId="0" applyFont="1" applyFill="1" applyBorder="1"/>
    <xf numFmtId="3" fontId="3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left" vertical="center"/>
    </xf>
    <xf numFmtId="0" fontId="3" fillId="0" borderId="0" xfId="0" applyFont="1"/>
    <xf numFmtId="0" fontId="6" fillId="2" borderId="2" xfId="0" applyFont="1" applyFill="1" applyBorder="1"/>
    <xf numFmtId="43" fontId="6" fillId="5" borderId="2" xfId="1" applyFont="1" applyFill="1" applyBorder="1" applyAlignment="1">
      <alignment horizontal="right"/>
    </xf>
    <xf numFmtId="43" fontId="6" fillId="2" borderId="2" xfId="1" applyFont="1" applyFill="1" applyBorder="1" applyAlignment="1">
      <alignment horizontal="right"/>
    </xf>
    <xf numFmtId="9" fontId="3" fillId="5" borderId="0" xfId="2" applyFont="1" applyFill="1" applyAlignment="1"/>
    <xf numFmtId="9" fontId="3" fillId="2" borderId="1" xfId="2" applyFont="1" applyFill="1" applyBorder="1"/>
    <xf numFmtId="9" fontId="3" fillId="0" borderId="0" xfId="2" applyFont="1" applyAlignment="1"/>
    <xf numFmtId="0" fontId="18" fillId="10" borderId="6" xfId="0" applyFont="1" applyFill="1" applyBorder="1"/>
    <xf numFmtId="0" fontId="19" fillId="11" borderId="7" xfId="0" applyFont="1" applyFill="1" applyBorder="1"/>
    <xf numFmtId="0" fontId="18" fillId="10" borderId="8" xfId="0" applyFont="1" applyFill="1" applyBorder="1"/>
    <xf numFmtId="0" fontId="20" fillId="11" borderId="9" xfId="0" applyFont="1" applyFill="1" applyBorder="1" applyAlignment="1">
      <alignment horizontal="left"/>
    </xf>
    <xf numFmtId="0" fontId="18" fillId="11" borderId="10" xfId="0" applyFont="1" applyFill="1" applyBorder="1" applyAlignment="1">
      <alignment horizontal="left"/>
    </xf>
    <xf numFmtId="0" fontId="19" fillId="11" borderId="11" xfId="0" applyFont="1" applyFill="1" applyBorder="1" applyAlignment="1">
      <alignment horizontal="left"/>
    </xf>
    <xf numFmtId="0" fontId="21" fillId="14" borderId="12" xfId="0" applyFont="1" applyFill="1" applyBorder="1"/>
    <xf numFmtId="0" fontId="21" fillId="14" borderId="13" xfId="0" applyFont="1" applyFill="1" applyBorder="1"/>
    <xf numFmtId="0" fontId="18" fillId="11" borderId="10" xfId="0" applyFont="1" applyFill="1" applyBorder="1"/>
    <xf numFmtId="0" fontId="19" fillId="11" borderId="11" xfId="0" applyFont="1" applyFill="1" applyBorder="1"/>
    <xf numFmtId="0" fontId="18" fillId="13" borderId="3" xfId="0" applyFont="1" applyFill="1" applyBorder="1" applyAlignment="1">
      <alignment vertical="center"/>
    </xf>
    <xf numFmtId="165" fontId="18" fillId="13" borderId="4" xfId="0" applyNumberFormat="1" applyFont="1" applyFill="1" applyBorder="1" applyAlignment="1">
      <alignment vertical="center"/>
    </xf>
    <xf numFmtId="0" fontId="17" fillId="12" borderId="6" xfId="0" applyFont="1" applyFill="1" applyBorder="1" applyAlignment="1">
      <alignment vertical="center"/>
    </xf>
    <xf numFmtId="3" fontId="16" fillId="10" borderId="18" xfId="0" applyNumberFormat="1" applyFont="1" applyFill="1" applyBorder="1" applyAlignment="1">
      <alignment horizontal="right" vertical="center"/>
    </xf>
    <xf numFmtId="3" fontId="16" fillId="10" borderId="18" xfId="0" applyNumberFormat="1" applyFont="1" applyFill="1" applyBorder="1" applyAlignment="1">
      <alignment horizontal="left" vertical="center"/>
    </xf>
    <xf numFmtId="165" fontId="16" fillId="10" borderId="7" xfId="0" applyNumberFormat="1" applyFont="1" applyFill="1" applyBorder="1" applyAlignment="1">
      <alignment horizontal="left" vertical="center"/>
    </xf>
    <xf numFmtId="0" fontId="16" fillId="10" borderId="19" xfId="0" applyFont="1" applyFill="1" applyBorder="1" applyAlignment="1">
      <alignment vertical="center"/>
    </xf>
    <xf numFmtId="0" fontId="21" fillId="14" borderId="21" xfId="0" applyFont="1" applyFill="1" applyBorder="1" applyAlignment="1">
      <alignment vertical="center"/>
    </xf>
    <xf numFmtId="0" fontId="21" fillId="14" borderId="21" xfId="0" applyFont="1" applyFill="1" applyBorder="1" applyAlignment="1">
      <alignment vertical="center" wrapText="1"/>
    </xf>
    <xf numFmtId="0" fontId="21" fillId="14" borderId="12" xfId="0" applyFont="1" applyFill="1" applyBorder="1" applyAlignment="1">
      <alignment vertical="center"/>
    </xf>
    <xf numFmtId="0" fontId="21" fillId="14" borderId="13" xfId="0" applyFont="1" applyFill="1" applyBorder="1" applyAlignment="1">
      <alignment vertical="center" wrapText="1"/>
    </xf>
    <xf numFmtId="0" fontId="24" fillId="12" borderId="6" xfId="0" applyFont="1" applyFill="1" applyBorder="1" applyAlignment="1">
      <alignment vertical="center"/>
    </xf>
    <xf numFmtId="3" fontId="14" fillId="10" borderId="18" xfId="0" applyNumberFormat="1" applyFont="1" applyFill="1" applyBorder="1" applyAlignment="1">
      <alignment horizontal="right" vertical="center"/>
    </xf>
    <xf numFmtId="0" fontId="14" fillId="10" borderId="18" xfId="0" applyFont="1" applyFill="1" applyBorder="1" applyAlignment="1">
      <alignment vertical="center"/>
    </xf>
    <xf numFmtId="165" fontId="14" fillId="10" borderId="7" xfId="0" applyNumberFormat="1" applyFont="1" applyFill="1" applyBorder="1" applyAlignment="1">
      <alignment horizontal="left" vertical="center"/>
    </xf>
    <xf numFmtId="0" fontId="24" fillId="12" borderId="8" xfId="0" applyFont="1" applyFill="1" applyBorder="1" applyAlignment="1">
      <alignment vertical="center"/>
    </xf>
    <xf numFmtId="0" fontId="14" fillId="10" borderId="19" xfId="0" applyFont="1" applyFill="1" applyBorder="1" applyAlignment="1">
      <alignment vertical="center"/>
    </xf>
    <xf numFmtId="9" fontId="14" fillId="11" borderId="16" xfId="2" applyFont="1" applyFill="1" applyBorder="1" applyAlignment="1"/>
    <xf numFmtId="9" fontId="14" fillId="11" borderId="17" xfId="2" applyFont="1" applyFill="1" applyBorder="1" applyAlignment="1"/>
    <xf numFmtId="0" fontId="17" fillId="10" borderId="8" xfId="0" applyFont="1" applyFill="1" applyBorder="1" applyAlignment="1">
      <alignment vertical="center"/>
    </xf>
    <xf numFmtId="164" fontId="18" fillId="13" borderId="4" xfId="0" applyNumberFormat="1" applyFont="1" applyFill="1" applyBorder="1" applyAlignment="1">
      <alignment horizontal="left" vertical="center"/>
    </xf>
    <xf numFmtId="0" fontId="13" fillId="10" borderId="8" xfId="0" applyFont="1" applyFill="1" applyBorder="1" applyAlignment="1">
      <alignment vertical="center"/>
    </xf>
    <xf numFmtId="0" fontId="18" fillId="13" borderId="15" xfId="0" applyFont="1" applyFill="1" applyBorder="1" applyAlignment="1">
      <alignment vertical="center"/>
    </xf>
    <xf numFmtId="164" fontId="18" fillId="13" borderId="4" xfId="0" applyNumberFormat="1" applyFont="1" applyFill="1" applyBorder="1" applyAlignment="1">
      <alignment horizontal="center" vertical="center"/>
    </xf>
    <xf numFmtId="0" fontId="13" fillId="10" borderId="6" xfId="0" applyFont="1" applyFill="1" applyBorder="1" applyAlignment="1">
      <alignment horizontal="left"/>
    </xf>
    <xf numFmtId="0" fontId="21" fillId="19" borderId="22" xfId="0" applyFont="1" applyFill="1" applyBorder="1" applyAlignment="1">
      <alignment vertical="center" wrapText="1"/>
    </xf>
    <xf numFmtId="166" fontId="21" fillId="19" borderId="23" xfId="0" applyNumberFormat="1" applyFont="1" applyFill="1" applyBorder="1" applyAlignment="1">
      <alignment vertical="center"/>
    </xf>
    <xf numFmtId="0" fontId="13" fillId="16" borderId="3" xfId="0" applyFont="1" applyFill="1" applyBorder="1" applyAlignment="1">
      <alignment horizontal="left"/>
    </xf>
    <xf numFmtId="165" fontId="13" fillId="16" borderId="15" xfId="1" applyNumberFormat="1" applyFont="1" applyFill="1" applyBorder="1"/>
    <xf numFmtId="0" fontId="21" fillId="17" borderId="22" xfId="0" applyFont="1" applyFill="1" applyBorder="1"/>
    <xf numFmtId="1" fontId="21" fillId="17" borderId="23" xfId="0" applyNumberFormat="1" applyFont="1" applyFill="1" applyBorder="1" applyAlignment="1">
      <alignment horizontal="right" wrapText="1"/>
    </xf>
    <xf numFmtId="0" fontId="21" fillId="15" borderId="3" xfId="0" applyFont="1" applyFill="1" applyBorder="1" applyAlignment="1">
      <alignment horizontal="center" vertical="center"/>
    </xf>
    <xf numFmtId="1" fontId="21" fillId="15" borderId="15" xfId="0" applyNumberFormat="1" applyFont="1" applyFill="1" applyBorder="1" applyAlignment="1">
      <alignment horizontal="right"/>
    </xf>
    <xf numFmtId="0" fontId="13" fillId="18" borderId="3" xfId="0" applyFont="1" applyFill="1" applyBorder="1"/>
    <xf numFmtId="165" fontId="13" fillId="18" borderId="15" xfId="1" applyNumberFormat="1" applyFont="1" applyFill="1" applyBorder="1" applyAlignment="1"/>
    <xf numFmtId="165" fontId="14" fillId="10" borderId="18" xfId="1" applyNumberFormat="1" applyFont="1" applyFill="1" applyBorder="1" applyAlignment="1">
      <alignment horizontal="left" vertical="center"/>
    </xf>
    <xf numFmtId="0" fontId="7" fillId="14" borderId="3" xfId="0" applyFont="1" applyFill="1" applyBorder="1"/>
    <xf numFmtId="0" fontId="7" fillId="14" borderId="4" xfId="0" applyFont="1" applyFill="1" applyBorder="1" applyAlignment="1">
      <alignment horizontal="left"/>
    </xf>
    <xf numFmtId="0" fontId="2" fillId="10" borderId="12" xfId="0" applyFont="1" applyFill="1" applyBorder="1"/>
    <xf numFmtId="0" fontId="25" fillId="11" borderId="13" xfId="0" applyFont="1" applyFill="1" applyBorder="1" applyAlignment="1">
      <alignment horizontal="left"/>
    </xf>
    <xf numFmtId="0" fontId="21" fillId="15" borderId="24" xfId="0" applyFont="1" applyFill="1" applyBorder="1" applyAlignment="1">
      <alignment horizontal="center" vertical="center"/>
    </xf>
    <xf numFmtId="1" fontId="21" fillId="15" borderId="25" xfId="0" applyNumberFormat="1" applyFont="1" applyFill="1" applyBorder="1" applyAlignment="1">
      <alignment horizontal="right"/>
    </xf>
    <xf numFmtId="0" fontId="21" fillId="17" borderId="24" xfId="0" applyFont="1" applyFill="1" applyBorder="1"/>
    <xf numFmtId="1" fontId="21" fillId="17" borderId="25" xfId="0" applyNumberFormat="1" applyFont="1" applyFill="1" applyBorder="1" applyAlignment="1">
      <alignment horizontal="right" wrapText="1"/>
    </xf>
    <xf numFmtId="0" fontId="19" fillId="11" borderId="19" xfId="0" applyFont="1" applyFill="1" applyBorder="1"/>
    <xf numFmtId="0" fontId="19" fillId="10" borderId="19" xfId="0" applyFont="1" applyFill="1" applyBorder="1"/>
    <xf numFmtId="9" fontId="19" fillId="11" borderId="19" xfId="2" applyFont="1" applyFill="1" applyBorder="1" applyAlignment="1"/>
    <xf numFmtId="0" fontId="18" fillId="11" borderId="6" xfId="0" applyFont="1" applyFill="1" applyBorder="1"/>
    <xf numFmtId="0" fontId="19" fillId="11" borderId="18" xfId="0" applyFont="1" applyFill="1" applyBorder="1"/>
    <xf numFmtId="0" fontId="19" fillId="10" borderId="18" xfId="0" applyFont="1" applyFill="1" applyBorder="1"/>
    <xf numFmtId="0" fontId="18" fillId="11" borderId="8" xfId="0" applyFont="1" applyFill="1" applyBorder="1"/>
    <xf numFmtId="0" fontId="19" fillId="10" borderId="9" xfId="0" applyFont="1" applyFill="1" applyBorder="1"/>
    <xf numFmtId="0" fontId="3" fillId="2" borderId="19" xfId="0" applyFont="1" applyFill="1" applyBorder="1"/>
    <xf numFmtId="0" fontId="3" fillId="2" borderId="20" xfId="0" applyFont="1" applyFill="1" applyBorder="1"/>
    <xf numFmtId="0" fontId="19" fillId="0" borderId="18" xfId="0" quotePrefix="1" applyFont="1" applyBorder="1"/>
    <xf numFmtId="0" fontId="19" fillId="0" borderId="7" xfId="0" quotePrefix="1" applyFont="1" applyBorder="1"/>
    <xf numFmtId="0" fontId="19" fillId="0" borderId="19" xfId="0" quotePrefix="1" applyFont="1" applyBorder="1"/>
    <xf numFmtId="0" fontId="19" fillId="0" borderId="9" xfId="0" quotePrefix="1" applyFont="1" applyBorder="1"/>
    <xf numFmtId="0" fontId="19" fillId="10" borderId="8" xfId="0" quotePrefix="1" applyFont="1" applyFill="1" applyBorder="1"/>
    <xf numFmtId="0" fontId="19" fillId="2" borderId="19" xfId="0" quotePrefix="1" applyFont="1" applyFill="1" applyBorder="1"/>
    <xf numFmtId="0" fontId="19" fillId="2" borderId="9" xfId="0" quotePrefix="1" applyFont="1" applyFill="1" applyBorder="1"/>
    <xf numFmtId="0" fontId="19" fillId="10" borderId="8" xfId="0" applyFont="1" applyFill="1" applyBorder="1"/>
    <xf numFmtId="0" fontId="19" fillId="2" borderId="19" xfId="0" applyFont="1" applyFill="1" applyBorder="1"/>
    <xf numFmtId="0" fontId="19" fillId="2" borderId="9" xfId="0" applyFont="1" applyFill="1" applyBorder="1"/>
    <xf numFmtId="0" fontId="19" fillId="2" borderId="19" xfId="0" applyFont="1" applyFill="1" applyBorder="1" applyAlignment="1">
      <alignment horizontal="left"/>
    </xf>
    <xf numFmtId="0" fontId="19" fillId="2" borderId="9" xfId="0" applyFont="1" applyFill="1" applyBorder="1" applyAlignment="1">
      <alignment horizontal="left"/>
    </xf>
    <xf numFmtId="0" fontId="19" fillId="2" borderId="20" xfId="0" applyFont="1" applyFill="1" applyBorder="1"/>
    <xf numFmtId="0" fontId="19" fillId="2" borderId="11" xfId="0" applyFont="1" applyFill="1" applyBorder="1"/>
    <xf numFmtId="0" fontId="7" fillId="14" borderId="24" xfId="0" applyFont="1" applyFill="1" applyBorder="1"/>
    <xf numFmtId="0" fontId="7" fillId="14" borderId="25" xfId="0" applyFont="1" applyFill="1" applyBorder="1"/>
    <xf numFmtId="0" fontId="7" fillId="14" borderId="25" xfId="0" applyFont="1" applyFill="1" applyBorder="1" applyAlignment="1">
      <alignment horizontal="left"/>
    </xf>
    <xf numFmtId="0" fontId="19" fillId="10" borderId="19" xfId="0" applyFont="1" applyFill="1" applyBorder="1" applyAlignment="1">
      <alignment horizontal="right"/>
    </xf>
    <xf numFmtId="0" fontId="3" fillId="2" borderId="34" xfId="0" applyFont="1" applyFill="1" applyBorder="1"/>
    <xf numFmtId="0" fontId="3" fillId="2" borderId="35" xfId="0" applyFont="1" applyFill="1" applyBorder="1"/>
    <xf numFmtId="9" fontId="26" fillId="11" borderId="16" xfId="2" applyFont="1" applyFill="1" applyBorder="1" applyAlignment="1"/>
    <xf numFmtId="9" fontId="26" fillId="11" borderId="17" xfId="2" applyFont="1" applyFill="1" applyBorder="1" applyAlignment="1"/>
    <xf numFmtId="9" fontId="26" fillId="5" borderId="0" xfId="2" applyFont="1" applyFill="1" applyAlignment="1"/>
    <xf numFmtId="0" fontId="6" fillId="5" borderId="1" xfId="0" applyFont="1" applyFill="1" applyBorder="1" applyAlignment="1">
      <alignment horizontal="left"/>
    </xf>
    <xf numFmtId="0" fontId="18" fillId="11" borderId="36" xfId="0" applyFont="1" applyFill="1" applyBorder="1"/>
    <xf numFmtId="0" fontId="22" fillId="11" borderId="9" xfId="0" applyFont="1" applyFill="1" applyBorder="1" applyAlignment="1">
      <alignment horizontal="left"/>
    </xf>
    <xf numFmtId="0" fontId="19" fillId="10" borderId="36" xfId="0" applyFont="1" applyFill="1" applyBorder="1"/>
    <xf numFmtId="0" fontId="19" fillId="10" borderId="38" xfId="0" applyFont="1" applyFill="1" applyBorder="1"/>
    <xf numFmtId="0" fontId="19" fillId="5" borderId="6" xfId="0" quotePrefix="1" applyFont="1" applyFill="1" applyBorder="1"/>
    <xf numFmtId="0" fontId="19" fillId="5" borderId="18" xfId="0" quotePrefix="1" applyFont="1" applyFill="1" applyBorder="1"/>
    <xf numFmtId="0" fontId="19" fillId="5" borderId="31" xfId="0" quotePrefix="1" applyFont="1" applyFill="1" applyBorder="1"/>
    <xf numFmtId="0" fontId="19" fillId="5" borderId="8" xfId="0" quotePrefix="1" applyFont="1" applyFill="1" applyBorder="1"/>
    <xf numFmtId="0" fontId="19" fillId="2" borderId="8" xfId="0" quotePrefix="1" applyFont="1" applyFill="1" applyBorder="1"/>
    <xf numFmtId="0" fontId="19" fillId="2" borderId="8" xfId="0" applyFont="1" applyFill="1" applyBorder="1"/>
    <xf numFmtId="0" fontId="19" fillId="2" borderId="30" xfId="0" applyFont="1" applyFill="1" applyBorder="1"/>
    <xf numFmtId="0" fontId="19" fillId="2" borderId="10" xfId="0" applyFont="1" applyFill="1" applyBorder="1"/>
    <xf numFmtId="0" fontId="19" fillId="2" borderId="32" xfId="0" applyFont="1" applyFill="1" applyBorder="1"/>
    <xf numFmtId="165" fontId="14" fillId="10" borderId="37" xfId="1" applyNumberFormat="1" applyFont="1" applyFill="1" applyBorder="1" applyAlignment="1">
      <alignment horizontal="left" vertical="center"/>
    </xf>
    <xf numFmtId="0" fontId="18" fillId="11" borderId="40" xfId="0" applyFont="1" applyFill="1" applyBorder="1"/>
    <xf numFmtId="0" fontId="18" fillId="11" borderId="39" xfId="0" applyFont="1" applyFill="1" applyBorder="1"/>
    <xf numFmtId="165" fontId="14" fillId="10" borderId="41" xfId="1" applyNumberFormat="1" applyFont="1" applyFill="1" applyBorder="1" applyAlignment="1">
      <alignment horizontal="left" vertical="center"/>
    </xf>
    <xf numFmtId="0" fontId="19" fillId="11" borderId="44" xfId="0" applyFont="1" applyFill="1" applyBorder="1"/>
    <xf numFmtId="0" fontId="19" fillId="10" borderId="44" xfId="0" applyFont="1" applyFill="1" applyBorder="1"/>
    <xf numFmtId="0" fontId="19" fillId="10" borderId="43" xfId="0" applyFont="1" applyFill="1" applyBorder="1"/>
    <xf numFmtId="0" fontId="18" fillId="11" borderId="45" xfId="0" applyFont="1" applyFill="1" applyBorder="1"/>
    <xf numFmtId="9" fontId="19" fillId="11" borderId="44" xfId="2" applyFont="1" applyFill="1" applyBorder="1" applyAlignment="1"/>
    <xf numFmtId="0" fontId="19" fillId="10" borderId="44" xfId="0" applyFont="1" applyFill="1" applyBorder="1" applyAlignment="1">
      <alignment horizontal="right"/>
    </xf>
    <xf numFmtId="0" fontId="19" fillId="10" borderId="45" xfId="0" applyFont="1" applyFill="1" applyBorder="1"/>
    <xf numFmtId="0" fontId="19" fillId="10" borderId="37" xfId="0" applyFont="1" applyFill="1" applyBorder="1"/>
    <xf numFmtId="0" fontId="19" fillId="10" borderId="46" xfId="0" applyFont="1" applyFill="1" applyBorder="1"/>
    <xf numFmtId="0" fontId="7" fillId="14" borderId="47" xfId="0" applyFont="1" applyFill="1" applyBorder="1"/>
    <xf numFmtId="0" fontId="3" fillId="0" borderId="1" xfId="4" applyFont="1"/>
    <xf numFmtId="0" fontId="19" fillId="0" borderId="18" xfId="0" applyFont="1" applyBorder="1"/>
    <xf numFmtId="0" fontId="4" fillId="3" borderId="2" xfId="0" applyFont="1" applyFill="1" applyBorder="1" applyAlignment="1">
      <alignment vertical="center"/>
    </xf>
    <xf numFmtId="0" fontId="6" fillId="5" borderId="2" xfId="0" applyFont="1" applyFill="1" applyBorder="1"/>
    <xf numFmtId="0" fontId="3" fillId="2" borderId="1" xfId="5" applyFont="1" applyFill="1"/>
    <xf numFmtId="0" fontId="28" fillId="0" borderId="1" xfId="5" applyFont="1"/>
    <xf numFmtId="0" fontId="3" fillId="2" borderId="1" xfId="5" applyFont="1" applyFill="1" applyAlignment="1">
      <alignment horizontal="left"/>
    </xf>
    <xf numFmtId="0" fontId="13" fillId="20" borderId="12" xfId="5" applyFont="1" applyFill="1" applyBorder="1"/>
    <xf numFmtId="0" fontId="5" fillId="2" borderId="1" xfId="5" applyFont="1" applyFill="1"/>
    <xf numFmtId="0" fontId="13" fillId="21" borderId="8" xfId="5" applyFont="1" applyFill="1" applyBorder="1"/>
    <xf numFmtId="0" fontId="30" fillId="2" borderId="1" xfId="5" applyFont="1" applyFill="1"/>
    <xf numFmtId="0" fontId="13" fillId="21" borderId="12" xfId="5" applyFont="1" applyFill="1" applyBorder="1"/>
    <xf numFmtId="0" fontId="14" fillId="21" borderId="7" xfId="5" applyFont="1" applyFill="1" applyBorder="1"/>
    <xf numFmtId="0" fontId="13" fillId="21" borderId="10" xfId="5" applyFont="1" applyFill="1" applyBorder="1" applyAlignment="1">
      <alignment horizontal="left"/>
    </xf>
    <xf numFmtId="0" fontId="13" fillId="22" borderId="1" xfId="5" applyFont="1" applyFill="1" applyAlignment="1">
      <alignment horizontal="left"/>
    </xf>
    <xf numFmtId="0" fontId="14" fillId="22" borderId="1" xfId="5" applyFont="1" applyFill="1" applyAlignment="1">
      <alignment horizontal="left"/>
    </xf>
    <xf numFmtId="0" fontId="14" fillId="22" borderId="34" xfId="5" applyFont="1" applyFill="1" applyBorder="1" applyAlignment="1">
      <alignment horizontal="left"/>
    </xf>
    <xf numFmtId="0" fontId="3" fillId="2" borderId="34" xfId="5" applyFont="1" applyFill="1" applyBorder="1"/>
    <xf numFmtId="0" fontId="4" fillId="2" borderId="1" xfId="5" applyFont="1" applyFill="1" applyAlignment="1">
      <alignment vertical="center"/>
    </xf>
    <xf numFmtId="0" fontId="13" fillId="20" borderId="12" xfId="5" applyFont="1" applyFill="1" applyBorder="1" applyAlignment="1">
      <alignment vertical="center"/>
    </xf>
    <xf numFmtId="0" fontId="13" fillId="20" borderId="21" xfId="5" applyFont="1" applyFill="1" applyBorder="1" applyAlignment="1">
      <alignment vertical="center"/>
    </xf>
    <xf numFmtId="0" fontId="13" fillId="20" borderId="21" xfId="5" applyFont="1" applyFill="1" applyBorder="1" applyAlignment="1">
      <alignment vertical="center" wrapText="1"/>
    </xf>
    <xf numFmtId="0" fontId="13" fillId="20" borderId="13" xfId="5" applyFont="1" applyFill="1" applyBorder="1" applyAlignment="1">
      <alignment vertical="center" wrapText="1"/>
    </xf>
    <xf numFmtId="0" fontId="10" fillId="2" borderId="1" xfId="5" applyFont="1" applyFill="1"/>
    <xf numFmtId="0" fontId="13" fillId="21" borderId="6" xfId="5" applyFont="1" applyFill="1" applyBorder="1" applyAlignment="1">
      <alignment vertical="center"/>
    </xf>
    <xf numFmtId="0" fontId="14" fillId="21" borderId="18" xfId="5" applyFont="1" applyFill="1" applyBorder="1" applyAlignment="1">
      <alignment vertical="center"/>
    </xf>
    <xf numFmtId="168" fontId="14" fillId="21" borderId="18" xfId="5" applyNumberFormat="1" applyFont="1" applyFill="1" applyBorder="1" applyAlignment="1">
      <alignment horizontal="left" vertical="center"/>
    </xf>
    <xf numFmtId="165" fontId="14" fillId="21" borderId="7" xfId="5" applyNumberFormat="1" applyFont="1" applyFill="1" applyBorder="1" applyAlignment="1">
      <alignment horizontal="left" vertical="center"/>
    </xf>
    <xf numFmtId="0" fontId="3" fillId="2" borderId="1" xfId="5" applyFont="1" applyFill="1" applyAlignment="1">
      <alignment vertical="center"/>
    </xf>
    <xf numFmtId="3" fontId="3" fillId="2" borderId="1" xfId="5" applyNumberFormat="1" applyFont="1" applyFill="1" applyAlignment="1">
      <alignment horizontal="right" vertical="center"/>
    </xf>
    <xf numFmtId="3" fontId="14" fillId="21" borderId="18" xfId="5" applyNumberFormat="1" applyFont="1" applyFill="1" applyBorder="1" applyAlignment="1">
      <alignment horizontal="left" vertical="center"/>
    </xf>
    <xf numFmtId="0" fontId="13" fillId="21" borderId="8" xfId="5" applyFont="1" applyFill="1" applyBorder="1" applyAlignment="1">
      <alignment vertical="center"/>
    </xf>
    <xf numFmtId="164" fontId="3" fillId="2" borderId="1" xfId="5" applyNumberFormat="1" applyFont="1" applyFill="1" applyAlignment="1">
      <alignment vertical="center"/>
    </xf>
    <xf numFmtId="3" fontId="3" fillId="2" borderId="1" xfId="5" applyNumberFormat="1" applyFont="1" applyFill="1" applyAlignment="1">
      <alignment horizontal="left"/>
    </xf>
    <xf numFmtId="0" fontId="29" fillId="5" borderId="25" xfId="5" applyFont="1" applyFill="1" applyBorder="1"/>
    <xf numFmtId="0" fontId="29" fillId="5" borderId="50" xfId="5" applyFont="1" applyFill="1" applyBorder="1"/>
    <xf numFmtId="9" fontId="14" fillId="22" borderId="7" xfId="6" applyFont="1" applyFill="1" applyBorder="1" applyAlignment="1">
      <alignment horizontal="left" vertical="center"/>
    </xf>
    <xf numFmtId="0" fontId="28" fillId="5" borderId="1" xfId="5" applyFont="1" applyFill="1"/>
    <xf numFmtId="0" fontId="29" fillId="5" borderId="26" xfId="5" applyFont="1" applyFill="1" applyBorder="1"/>
    <xf numFmtId="1" fontId="13" fillId="23" borderId="25" xfId="5" applyNumberFormat="1" applyFont="1" applyFill="1" applyBorder="1" applyAlignment="1">
      <alignment horizontal="right" wrapText="1"/>
    </xf>
    <xf numFmtId="165" fontId="14" fillId="22" borderId="18" xfId="5" applyNumberFormat="1" applyFont="1" applyFill="1" applyBorder="1" applyAlignment="1">
      <alignment horizontal="left" vertical="center"/>
    </xf>
    <xf numFmtId="165" fontId="14" fillId="22" borderId="7" xfId="5" applyNumberFormat="1" applyFont="1" applyFill="1" applyBorder="1" applyAlignment="1">
      <alignment horizontal="left" vertical="center"/>
    </xf>
    <xf numFmtId="165" fontId="14" fillId="22" borderId="19" xfId="5" applyNumberFormat="1" applyFont="1" applyFill="1" applyBorder="1" applyAlignment="1">
      <alignment horizontal="left" vertical="center"/>
    </xf>
    <xf numFmtId="165" fontId="14" fillId="22" borderId="9" xfId="5" applyNumberFormat="1" applyFont="1" applyFill="1" applyBorder="1" applyAlignment="1">
      <alignment horizontal="left" vertical="center"/>
    </xf>
    <xf numFmtId="0" fontId="13" fillId="20" borderId="3" xfId="5" applyFont="1" applyFill="1" applyBorder="1"/>
    <xf numFmtId="0" fontId="13" fillId="20" borderId="4" xfId="5" applyFont="1" applyFill="1" applyBorder="1" applyAlignment="1">
      <alignment horizontal="left"/>
    </xf>
    <xf numFmtId="0" fontId="7" fillId="7" borderId="47" xfId="0" applyFont="1" applyFill="1" applyBorder="1"/>
    <xf numFmtId="0" fontId="19" fillId="5" borderId="18" xfId="0" applyFont="1" applyFill="1" applyBorder="1"/>
    <xf numFmtId="0" fontId="19" fillId="2" borderId="37" xfId="0" applyFont="1" applyFill="1" applyBorder="1"/>
    <xf numFmtId="164" fontId="18" fillId="13" borderId="15" xfId="1" applyNumberFormat="1" applyFont="1" applyFill="1" applyBorder="1" applyAlignment="1">
      <alignment vertical="center"/>
    </xf>
    <xf numFmtId="9" fontId="3" fillId="5" borderId="0" xfId="2" applyFont="1" applyFill="1"/>
    <xf numFmtId="9" fontId="19" fillId="10" borderId="33" xfId="2" quotePrefix="1" applyFont="1" applyFill="1" applyBorder="1"/>
    <xf numFmtId="9" fontId="19" fillId="10" borderId="49" xfId="2" quotePrefix="1" applyFont="1" applyFill="1" applyBorder="1"/>
    <xf numFmtId="9" fontId="19" fillId="10" borderId="49" xfId="2" applyFont="1" applyFill="1" applyBorder="1"/>
    <xf numFmtId="9" fontId="7" fillId="14" borderId="25" xfId="2" applyFont="1" applyFill="1" applyBorder="1"/>
    <xf numFmtId="9" fontId="3" fillId="2" borderId="34" xfId="2" applyFont="1" applyFill="1" applyBorder="1"/>
    <xf numFmtId="0" fontId="3" fillId="2" borderId="1" xfId="0" applyFont="1" applyFill="1" applyBorder="1" applyAlignment="1">
      <alignment horizontal="right"/>
    </xf>
    <xf numFmtId="0" fontId="18" fillId="13" borderId="1" xfId="0" applyFont="1" applyFill="1" applyBorder="1" applyAlignment="1">
      <alignment vertical="center"/>
    </xf>
    <xf numFmtId="164" fontId="18" fillId="13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/>
    <xf numFmtId="0" fontId="18" fillId="8" borderId="1" xfId="0" applyFont="1" applyFill="1" applyBorder="1" applyAlignment="1">
      <alignment horizontal="right" vertical="center"/>
    </xf>
    <xf numFmtId="0" fontId="18" fillId="8" borderId="1" xfId="0" applyFont="1" applyFill="1" applyBorder="1" applyAlignment="1">
      <alignment vertical="center"/>
    </xf>
    <xf numFmtId="164" fontId="18" fillId="8" borderId="1" xfId="0" applyNumberFormat="1" applyFont="1" applyFill="1" applyBorder="1" applyAlignment="1">
      <alignment horizontal="center" vertical="center"/>
    </xf>
    <xf numFmtId="0" fontId="19" fillId="10" borderId="42" xfId="0" applyFont="1" applyFill="1" applyBorder="1"/>
    <xf numFmtId="0" fontId="19" fillId="10" borderId="42" xfId="0" applyFont="1" applyFill="1" applyBorder="1" applyAlignment="1">
      <alignment horizontal="right"/>
    </xf>
    <xf numFmtId="0" fontId="19" fillId="10" borderId="52" xfId="0" applyFont="1" applyFill="1" applyBorder="1"/>
    <xf numFmtId="43" fontId="3" fillId="5" borderId="0" xfId="1" applyFont="1" applyFill="1"/>
    <xf numFmtId="43" fontId="19" fillId="0" borderId="18" xfId="1" quotePrefix="1" applyFont="1" applyBorder="1"/>
    <xf numFmtId="164" fontId="3" fillId="5" borderId="0" xfId="1" applyNumberFormat="1" applyFont="1" applyFill="1"/>
    <xf numFmtId="164" fontId="19" fillId="0" borderId="18" xfId="1" quotePrefix="1" applyNumberFormat="1" applyFont="1" applyBorder="1"/>
    <xf numFmtId="43" fontId="19" fillId="0" borderId="7" xfId="1" quotePrefix="1" applyFont="1" applyBorder="1"/>
    <xf numFmtId="0" fontId="14" fillId="2" borderId="1" xfId="0" applyFont="1" applyFill="1" applyBorder="1" applyAlignment="1">
      <alignment horizontal="right"/>
    </xf>
    <xf numFmtId="43" fontId="19" fillId="11" borderId="19" xfId="1" applyFont="1" applyFill="1" applyBorder="1"/>
    <xf numFmtId="0" fontId="17" fillId="12" borderId="8" xfId="0" applyFont="1" applyFill="1" applyBorder="1" applyAlignment="1">
      <alignment vertical="center"/>
    </xf>
    <xf numFmtId="0" fontId="17" fillId="10" borderId="10" xfId="0" applyFont="1" applyFill="1" applyBorder="1" applyAlignment="1">
      <alignment horizontal="left"/>
    </xf>
    <xf numFmtId="9" fontId="3" fillId="2" borderId="1" xfId="6" applyFont="1" applyFill="1" applyBorder="1"/>
    <xf numFmtId="0" fontId="16" fillId="10" borderId="20" xfId="0" applyFont="1" applyFill="1" applyBorder="1" applyAlignment="1">
      <alignment vertical="center"/>
    </xf>
    <xf numFmtId="0" fontId="4" fillId="24" borderId="15" xfId="0" applyFont="1" applyFill="1" applyBorder="1" applyAlignment="1">
      <alignment vertical="center"/>
    </xf>
    <xf numFmtId="0" fontId="4" fillId="24" borderId="4" xfId="0" applyFont="1" applyFill="1" applyBorder="1" applyAlignment="1">
      <alignment horizontal="left" vertical="center"/>
    </xf>
    <xf numFmtId="0" fontId="33" fillId="25" borderId="22" xfId="0" applyFont="1" applyFill="1" applyBorder="1"/>
    <xf numFmtId="1" fontId="33" fillId="25" borderId="25" xfId="0" applyNumberFormat="1" applyFont="1" applyFill="1" applyBorder="1" applyAlignment="1">
      <alignment horizontal="right" wrapText="1"/>
    </xf>
    <xf numFmtId="1" fontId="33" fillId="25" borderId="23" xfId="0" applyNumberFormat="1" applyFont="1" applyFill="1" applyBorder="1" applyAlignment="1">
      <alignment horizontal="right" wrapText="1"/>
    </xf>
    <xf numFmtId="0" fontId="33" fillId="26" borderId="22" xfId="0" applyFont="1" applyFill="1" applyBorder="1" applyAlignment="1">
      <alignment vertical="center" wrapText="1"/>
    </xf>
    <xf numFmtId="166" fontId="33" fillId="26" borderId="23" xfId="0" applyNumberFormat="1" applyFont="1" applyFill="1" applyBorder="1" applyAlignment="1">
      <alignment vertical="center"/>
    </xf>
    <xf numFmtId="0" fontId="33" fillId="25" borderId="24" xfId="0" applyFont="1" applyFill="1" applyBorder="1"/>
    <xf numFmtId="0" fontId="35" fillId="27" borderId="22" xfId="5" applyFont="1" applyFill="1" applyBorder="1" applyAlignment="1">
      <alignment vertical="center" wrapText="1"/>
    </xf>
    <xf numFmtId="166" fontId="35" fillId="27" borderId="23" xfId="5" applyNumberFormat="1" applyFont="1" applyFill="1" applyBorder="1" applyAlignment="1">
      <alignment vertical="center"/>
    </xf>
    <xf numFmtId="0" fontId="17" fillId="29" borderId="53" xfId="0" applyFont="1" applyFill="1" applyBorder="1" applyAlignment="1">
      <alignment vertical="center"/>
    </xf>
    <xf numFmtId="9" fontId="19" fillId="11" borderId="42" xfId="0" applyNumberFormat="1" applyFont="1" applyFill="1" applyBorder="1"/>
    <xf numFmtId="9" fontId="19" fillId="11" borderId="44" xfId="0" applyNumberFormat="1" applyFont="1" applyFill="1" applyBorder="1"/>
    <xf numFmtId="2" fontId="19" fillId="11" borderId="19" xfId="0" applyNumberFormat="1" applyFont="1" applyFill="1" applyBorder="1"/>
    <xf numFmtId="164" fontId="19" fillId="2" borderId="19" xfId="1" applyNumberFormat="1" applyFont="1" applyFill="1" applyBorder="1"/>
    <xf numFmtId="164" fontId="19" fillId="0" borderId="19" xfId="1" applyNumberFormat="1" applyFont="1" applyBorder="1"/>
    <xf numFmtId="164" fontId="19" fillId="2" borderId="20" xfId="1" applyNumberFormat="1" applyFont="1" applyFill="1" applyBorder="1"/>
    <xf numFmtId="43" fontId="19" fillId="2" borderId="19" xfId="1" applyFont="1" applyFill="1" applyBorder="1"/>
    <xf numFmtId="0" fontId="4" fillId="24" borderId="25" xfId="0" applyFont="1" applyFill="1" applyBorder="1" applyAlignment="1">
      <alignment vertical="center"/>
    </xf>
    <xf numFmtId="0" fontId="21" fillId="14" borderId="24" xfId="0" applyFont="1" applyFill="1" applyBorder="1" applyAlignment="1">
      <alignment horizontal="left" vertical="center" wrapText="1"/>
    </xf>
    <xf numFmtId="0" fontId="21" fillId="14" borderId="25" xfId="0" applyFont="1" applyFill="1" applyBorder="1" applyAlignment="1">
      <alignment horizontal="left" vertical="center" wrapText="1"/>
    </xf>
    <xf numFmtId="0" fontId="21" fillId="18" borderId="25" xfId="0" applyFont="1" applyFill="1" applyBorder="1" applyAlignment="1">
      <alignment horizontal="left" vertical="center"/>
    </xf>
    <xf numFmtId="164" fontId="21" fillId="14" borderId="25" xfId="1" applyNumberFormat="1" applyFont="1" applyFill="1" applyBorder="1" applyAlignment="1">
      <alignment horizontal="left" vertical="center"/>
    </xf>
    <xf numFmtId="164" fontId="21" fillId="14" borderId="25" xfId="1" applyNumberFormat="1" applyFont="1" applyFill="1" applyBorder="1" applyAlignment="1">
      <alignment horizontal="left" vertical="center" wrapText="1"/>
    </xf>
    <xf numFmtId="0" fontId="21" fillId="14" borderId="26" xfId="0" applyFont="1" applyFill="1" applyBorder="1" applyAlignment="1">
      <alignment horizontal="left" vertical="center" wrapText="1"/>
    </xf>
    <xf numFmtId="43" fontId="21" fillId="14" borderId="26" xfId="1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left"/>
    </xf>
    <xf numFmtId="9" fontId="21" fillId="14" borderId="25" xfId="2" applyFont="1" applyFill="1" applyBorder="1" applyAlignment="1">
      <alignment horizontal="center" vertical="center" wrapText="1"/>
    </xf>
    <xf numFmtId="9" fontId="19" fillId="0" borderId="18" xfId="2" quotePrefix="1" applyFont="1" applyBorder="1" applyAlignment="1">
      <alignment horizontal="center"/>
    </xf>
    <xf numFmtId="9" fontId="3" fillId="5" borderId="0" xfId="2" applyFont="1" applyFill="1" applyAlignment="1">
      <alignment horizontal="center"/>
    </xf>
    <xf numFmtId="0" fontId="21" fillId="14" borderId="25" xfId="0" applyFont="1" applyFill="1" applyBorder="1" applyAlignment="1">
      <alignment horizontal="center" vertical="center" wrapText="1"/>
    </xf>
    <xf numFmtId="0" fontId="19" fillId="0" borderId="33" xfId="0" quotePrefix="1" applyFont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9" fillId="0" borderId="18" xfId="0" quotePrefix="1" applyFont="1" applyBorder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19" fillId="0" borderId="18" xfId="0" quotePrefix="1" applyFont="1" applyBorder="1" applyAlignment="1">
      <alignment horizontal="left" vertical="center"/>
    </xf>
    <xf numFmtId="43" fontId="3" fillId="5" borderId="0" xfId="1" applyFont="1" applyFill="1" applyAlignment="1">
      <alignment horizontal="center" vertical="center"/>
    </xf>
    <xf numFmtId="43" fontId="17" fillId="14" borderId="25" xfId="1" applyFont="1" applyFill="1" applyBorder="1" applyAlignment="1">
      <alignment horizontal="center" vertical="center" wrapText="1"/>
    </xf>
    <xf numFmtId="43" fontId="19" fillId="0" borderId="18" xfId="1" quotePrefix="1" applyFont="1" applyBorder="1" applyAlignment="1">
      <alignment horizontal="center" vertical="center"/>
    </xf>
    <xf numFmtId="0" fontId="36" fillId="14" borderId="25" xfId="0" applyFont="1" applyFill="1" applyBorder="1" applyAlignment="1">
      <alignment horizontal="left" vertical="center" wrapText="1"/>
    </xf>
    <xf numFmtId="165" fontId="16" fillId="10" borderId="18" xfId="1" applyNumberFormat="1" applyFont="1" applyFill="1" applyBorder="1" applyAlignment="1">
      <alignment horizontal="left" vertical="center"/>
    </xf>
    <xf numFmtId="3" fontId="19" fillId="0" borderId="0" xfId="0" applyNumberFormat="1" applyFont="1"/>
    <xf numFmtId="0" fontId="19" fillId="0" borderId="8" xfId="0" applyFont="1" applyBorder="1"/>
    <xf numFmtId="9" fontId="19" fillId="0" borderId="18" xfId="2" quotePrefix="1" applyFont="1" applyFill="1" applyBorder="1" applyAlignment="1">
      <alignment horizontal="center"/>
    </xf>
    <xf numFmtId="0" fontId="19" fillId="0" borderId="30" xfId="0" applyFont="1" applyBorder="1"/>
    <xf numFmtId="164" fontId="19" fillId="0" borderId="19" xfId="1" applyNumberFormat="1" applyFont="1" applyFill="1" applyBorder="1"/>
    <xf numFmtId="164" fontId="19" fillId="0" borderId="18" xfId="1" quotePrefix="1" applyNumberFormat="1" applyFont="1" applyFill="1" applyBorder="1"/>
    <xf numFmtId="43" fontId="19" fillId="0" borderId="18" xfId="1" quotePrefix="1" applyFont="1" applyFill="1" applyBorder="1" applyAlignment="1">
      <alignment horizontal="center" vertical="center"/>
    </xf>
    <xf numFmtId="0" fontId="19" fillId="0" borderId="19" xfId="0" applyFont="1" applyBorder="1"/>
    <xf numFmtId="0" fontId="19" fillId="0" borderId="9" xfId="0" applyFont="1" applyBorder="1"/>
    <xf numFmtId="43" fontId="19" fillId="0" borderId="7" xfId="1" quotePrefix="1" applyFont="1" applyFill="1" applyBorder="1"/>
    <xf numFmtId="10" fontId="19" fillId="0" borderId="18" xfId="2" quotePrefix="1" applyNumberFormat="1" applyFont="1" applyBorder="1" applyAlignment="1">
      <alignment horizontal="center"/>
    </xf>
    <xf numFmtId="169" fontId="19" fillId="11" borderId="19" xfId="0" applyNumberFormat="1" applyFont="1" applyFill="1" applyBorder="1"/>
    <xf numFmtId="9" fontId="3" fillId="0" borderId="1" xfId="2" applyFont="1" applyBorder="1"/>
    <xf numFmtId="166" fontId="3" fillId="5" borderId="0" xfId="0" applyNumberFormat="1" applyFont="1" applyFill="1"/>
    <xf numFmtId="170" fontId="3" fillId="5" borderId="0" xfId="2" applyNumberFormat="1" applyFont="1" applyFill="1"/>
    <xf numFmtId="10" fontId="3" fillId="2" borderId="1" xfId="2" applyNumberFormat="1" applyFont="1" applyFill="1" applyBorder="1"/>
    <xf numFmtId="171" fontId="3" fillId="5" borderId="0" xfId="2" applyNumberFormat="1" applyFont="1" applyFill="1" applyAlignment="1">
      <alignment horizontal="center" vertical="center"/>
    </xf>
    <xf numFmtId="10" fontId="19" fillId="10" borderId="33" xfId="2" quotePrefix="1" applyNumberFormat="1" applyFont="1" applyFill="1" applyBorder="1"/>
    <xf numFmtId="170" fontId="19" fillId="0" borderId="18" xfId="2" quotePrefix="1" applyNumberFormat="1" applyFont="1" applyBorder="1" applyAlignment="1">
      <alignment horizontal="center"/>
    </xf>
    <xf numFmtId="171" fontId="19" fillId="0" borderId="18" xfId="2" quotePrefix="1" applyNumberFormat="1" applyFont="1" applyBorder="1" applyAlignment="1">
      <alignment horizontal="center"/>
    </xf>
    <xf numFmtId="0" fontId="19" fillId="10" borderId="56" xfId="0" applyFont="1" applyFill="1" applyBorder="1"/>
    <xf numFmtId="0" fontId="19" fillId="10" borderId="56" xfId="0" applyFont="1" applyFill="1" applyBorder="1" applyAlignment="1">
      <alignment horizontal="right"/>
    </xf>
    <xf numFmtId="0" fontId="19" fillId="10" borderId="57" xfId="0" applyFont="1" applyFill="1" applyBorder="1"/>
    <xf numFmtId="0" fontId="19" fillId="10" borderId="55" xfId="0" applyFont="1" applyFill="1" applyBorder="1"/>
    <xf numFmtId="1" fontId="19" fillId="10" borderId="19" xfId="0" applyNumberFormat="1" applyFont="1" applyFill="1" applyBorder="1"/>
    <xf numFmtId="43" fontId="18" fillId="13" borderId="4" xfId="0" applyNumberFormat="1" applyFont="1" applyFill="1" applyBorder="1" applyAlignment="1">
      <alignment horizontal="center" vertical="center"/>
    </xf>
    <xf numFmtId="10" fontId="3" fillId="5" borderId="0" xfId="0" applyNumberFormat="1" applyFont="1" applyFill="1"/>
    <xf numFmtId="165" fontId="14" fillId="10" borderId="31" xfId="1" applyNumberFormat="1" applyFont="1" applyFill="1" applyBorder="1" applyAlignment="1">
      <alignment horizontal="left" vertical="center"/>
    </xf>
    <xf numFmtId="165" fontId="14" fillId="10" borderId="33" xfId="1" applyNumberFormat="1" applyFont="1" applyFill="1" applyBorder="1" applyAlignment="1">
      <alignment horizontal="left" vertical="center"/>
    </xf>
    <xf numFmtId="165" fontId="16" fillId="10" borderId="58" xfId="1" applyNumberFormat="1" applyFont="1" applyFill="1" applyBorder="1" applyAlignment="1">
      <alignment horizontal="left" vertical="center"/>
    </xf>
    <xf numFmtId="165" fontId="16" fillId="10" borderId="59" xfId="1" applyNumberFormat="1" applyFont="1" applyFill="1" applyBorder="1" applyAlignment="1">
      <alignment horizontal="left" vertical="center"/>
    </xf>
    <xf numFmtId="165" fontId="17" fillId="18" borderId="60" xfId="1" applyNumberFormat="1" applyFont="1" applyFill="1" applyBorder="1" applyAlignment="1"/>
    <xf numFmtId="1" fontId="21" fillId="25" borderId="61" xfId="0" applyNumberFormat="1" applyFont="1" applyFill="1" applyBorder="1" applyAlignment="1">
      <alignment horizontal="right" wrapText="1"/>
    </xf>
    <xf numFmtId="165" fontId="17" fillId="16" borderId="60" xfId="1" applyNumberFormat="1" applyFont="1" applyFill="1" applyBorder="1"/>
    <xf numFmtId="166" fontId="21" fillId="26" borderId="61" xfId="0" applyNumberFormat="1" applyFont="1" applyFill="1" applyBorder="1" applyAlignment="1">
      <alignment vertical="center"/>
    </xf>
    <xf numFmtId="171" fontId="19" fillId="11" borderId="19" xfId="2" applyNumberFormat="1" applyFont="1" applyFill="1" applyBorder="1" applyAlignment="1"/>
    <xf numFmtId="164" fontId="3" fillId="0" borderId="1" xfId="4" applyNumberFormat="1" applyFont="1"/>
    <xf numFmtId="0" fontId="19" fillId="11" borderId="19" xfId="2" applyNumberFormat="1" applyFont="1" applyFill="1" applyBorder="1" applyAlignment="1"/>
    <xf numFmtId="170" fontId="19" fillId="11" borderId="44" xfId="0" applyNumberFormat="1" applyFont="1" applyFill="1" applyBorder="1"/>
    <xf numFmtId="171" fontId="3" fillId="5" borderId="0" xfId="0" applyNumberFormat="1" applyFont="1" applyFill="1"/>
    <xf numFmtId="0" fontId="3" fillId="0" borderId="1" xfId="0" applyFont="1" applyBorder="1"/>
    <xf numFmtId="0" fontId="19" fillId="0" borderId="36" xfId="0" applyFont="1" applyBorder="1"/>
    <xf numFmtId="9" fontId="19" fillId="0" borderId="37" xfId="2" quotePrefix="1" applyFont="1" applyFill="1" applyBorder="1" applyAlignment="1">
      <alignment horizontal="center"/>
    </xf>
    <xf numFmtId="0" fontId="19" fillId="0" borderId="37" xfId="0" quotePrefix="1" applyFont="1" applyBorder="1"/>
    <xf numFmtId="0" fontId="19" fillId="0" borderId="63" xfId="0" applyFont="1" applyBorder="1"/>
    <xf numFmtId="0" fontId="19" fillId="0" borderId="64" xfId="0" quotePrefix="1" applyFont="1" applyBorder="1" applyAlignment="1">
      <alignment horizontal="center" vertical="center"/>
    </xf>
    <xf numFmtId="164" fontId="19" fillId="0" borderId="37" xfId="1" applyNumberFormat="1" applyFont="1" applyFill="1" applyBorder="1"/>
    <xf numFmtId="164" fontId="19" fillId="0" borderId="37" xfId="1" quotePrefix="1" applyNumberFormat="1" applyFont="1" applyFill="1" applyBorder="1"/>
    <xf numFmtId="0" fontId="19" fillId="0" borderId="37" xfId="0" quotePrefix="1" applyFont="1" applyBorder="1" applyAlignment="1">
      <alignment horizontal="center" vertical="center"/>
    </xf>
    <xf numFmtId="0" fontId="19" fillId="0" borderId="37" xfId="0" quotePrefix="1" applyFont="1" applyBorder="1" applyAlignment="1">
      <alignment horizontal="left" vertical="center"/>
    </xf>
    <xf numFmtId="43" fontId="19" fillId="0" borderId="37" xfId="1" quotePrefix="1" applyFont="1" applyFill="1" applyBorder="1" applyAlignment="1">
      <alignment horizontal="center" vertical="center"/>
    </xf>
    <xf numFmtId="0" fontId="19" fillId="0" borderId="37" xfId="0" applyFont="1" applyBorder="1"/>
    <xf numFmtId="0" fontId="19" fillId="0" borderId="46" xfId="0" applyFont="1" applyBorder="1"/>
    <xf numFmtId="43" fontId="19" fillId="0" borderId="46" xfId="1" quotePrefix="1" applyFont="1" applyFill="1" applyBorder="1"/>
    <xf numFmtId="0" fontId="3" fillId="5" borderId="62" xfId="0" applyFont="1" applyFill="1" applyBorder="1"/>
    <xf numFmtId="0" fontId="19" fillId="2" borderId="55" xfId="0" applyFont="1" applyFill="1" applyBorder="1"/>
    <xf numFmtId="170" fontId="19" fillId="0" borderId="65" xfId="2" quotePrefix="1" applyNumberFormat="1" applyFont="1" applyBorder="1" applyAlignment="1">
      <alignment horizontal="center"/>
    </xf>
    <xf numFmtId="0" fontId="19" fillId="5" borderId="65" xfId="0" quotePrefix="1" applyFont="1" applyFill="1" applyBorder="1"/>
    <xf numFmtId="0" fontId="19" fillId="2" borderId="66" xfId="0" applyFont="1" applyFill="1" applyBorder="1"/>
    <xf numFmtId="0" fontId="19" fillId="0" borderId="67" xfId="0" quotePrefix="1" applyFont="1" applyBorder="1" applyAlignment="1">
      <alignment horizontal="center" vertical="center"/>
    </xf>
    <xf numFmtId="0" fontId="19" fillId="2" borderId="56" xfId="0" quotePrefix="1" applyFont="1" applyFill="1" applyBorder="1"/>
    <xf numFmtId="164" fontId="19" fillId="0" borderId="56" xfId="1" applyNumberFormat="1" applyFont="1" applyFill="1" applyBorder="1"/>
    <xf numFmtId="164" fontId="19" fillId="0" borderId="65" xfId="1" quotePrefix="1" applyNumberFormat="1" applyFont="1" applyBorder="1"/>
    <xf numFmtId="0" fontId="19" fillId="0" borderId="65" xfId="0" quotePrefix="1" applyFont="1" applyBorder="1" applyAlignment="1">
      <alignment horizontal="center" vertical="center"/>
    </xf>
    <xf numFmtId="0" fontId="19" fillId="0" borderId="65" xfId="0" quotePrefix="1" applyFont="1" applyBorder="1" applyAlignment="1">
      <alignment horizontal="left" vertical="center"/>
    </xf>
    <xf numFmtId="43" fontId="19" fillId="0" borderId="65" xfId="1" quotePrefix="1" applyFont="1" applyBorder="1" applyAlignment="1">
      <alignment horizontal="center" vertical="center"/>
    </xf>
    <xf numFmtId="0" fontId="19" fillId="2" borderId="56" xfId="0" applyFont="1" applyFill="1" applyBorder="1"/>
    <xf numFmtId="0" fontId="19" fillId="2" borderId="57" xfId="0" applyFont="1" applyFill="1" applyBorder="1"/>
    <xf numFmtId="0" fontId="19" fillId="0" borderId="65" xfId="0" quotePrefix="1" applyFont="1" applyBorder="1"/>
    <xf numFmtId="43" fontId="19" fillId="0" borderId="68" xfId="1" quotePrefix="1" applyFont="1" applyBorder="1"/>
    <xf numFmtId="0" fontId="18" fillId="13" borderId="3" xfId="0" applyFont="1" applyFill="1" applyBorder="1" applyAlignment="1">
      <alignment horizontal="right" vertical="center"/>
    </xf>
    <xf numFmtId="0" fontId="18" fillId="13" borderId="15" xfId="0" applyFont="1" applyFill="1" applyBorder="1" applyAlignment="1">
      <alignment horizontal="right" vertical="center"/>
    </xf>
    <xf numFmtId="0" fontId="4" fillId="24" borderId="14" xfId="0" applyFont="1" applyFill="1" applyBorder="1" applyAlignment="1">
      <alignment horizontal="left" vertical="center"/>
    </xf>
    <xf numFmtId="0" fontId="4" fillId="24" borderId="5" xfId="0" applyFont="1" applyFill="1" applyBorder="1" applyAlignment="1">
      <alignment horizontal="left" vertical="center"/>
    </xf>
    <xf numFmtId="0" fontId="4" fillId="24" borderId="3" xfId="0" applyFont="1" applyFill="1" applyBorder="1" applyAlignment="1">
      <alignment horizontal="left"/>
    </xf>
    <xf numFmtId="0" fontId="4" fillId="24" borderId="4" xfId="0" applyFont="1" applyFill="1" applyBorder="1" applyAlignment="1">
      <alignment horizontal="left"/>
    </xf>
    <xf numFmtId="0" fontId="4" fillId="24" borderId="3" xfId="0" applyFont="1" applyFill="1" applyBorder="1" applyAlignment="1">
      <alignment horizontal="left" vertical="center"/>
    </xf>
    <xf numFmtId="0" fontId="4" fillId="24" borderId="15" xfId="0" applyFont="1" applyFill="1" applyBorder="1" applyAlignment="1">
      <alignment horizontal="left" vertical="center"/>
    </xf>
    <xf numFmtId="0" fontId="7" fillId="9" borderId="24" xfId="0" applyFont="1" applyFill="1" applyBorder="1" applyAlignment="1">
      <alignment horizontal="center" vertical="center"/>
    </xf>
    <xf numFmtId="0" fontId="7" fillId="9" borderId="25" xfId="0" applyFont="1" applyFill="1" applyBorder="1" applyAlignment="1">
      <alignment horizontal="center" vertical="center"/>
    </xf>
    <xf numFmtId="0" fontId="7" fillId="9" borderId="27" xfId="0" applyFont="1" applyFill="1" applyBorder="1" applyAlignment="1">
      <alignment horizontal="center" vertical="center"/>
    </xf>
    <xf numFmtId="0" fontId="7" fillId="9" borderId="29" xfId="0" applyFont="1" applyFill="1" applyBorder="1" applyAlignment="1">
      <alignment horizontal="center" vertical="center"/>
    </xf>
    <xf numFmtId="10" fontId="4" fillId="24" borderId="24" xfId="2" applyNumberFormat="1" applyFont="1" applyFill="1" applyBorder="1" applyAlignment="1">
      <alignment horizontal="center" vertical="center"/>
    </xf>
    <xf numFmtId="10" fontId="4" fillId="24" borderId="25" xfId="2" applyNumberFormat="1" applyFont="1" applyFill="1" applyBorder="1" applyAlignment="1">
      <alignment horizontal="center" vertical="center"/>
    </xf>
    <xf numFmtId="0" fontId="4" fillId="24" borderId="27" xfId="0" applyFont="1" applyFill="1" applyBorder="1" applyAlignment="1">
      <alignment horizontal="center" vertical="center"/>
    </xf>
    <xf numFmtId="0" fontId="4" fillId="24" borderId="28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4" fillId="24" borderId="24" xfId="0" applyFont="1" applyFill="1" applyBorder="1" applyAlignment="1">
      <alignment horizontal="center" vertical="center"/>
    </xf>
    <xf numFmtId="0" fontId="4" fillId="24" borderId="25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4" fillId="24" borderId="3" xfId="0" applyFont="1" applyFill="1" applyBorder="1" applyAlignment="1">
      <alignment horizontal="center" vertical="center"/>
    </xf>
    <xf numFmtId="0" fontId="4" fillId="24" borderId="15" xfId="0" applyFont="1" applyFill="1" applyBorder="1" applyAlignment="1">
      <alignment horizontal="center" vertical="center"/>
    </xf>
    <xf numFmtId="0" fontId="4" fillId="24" borderId="22" xfId="0" applyFont="1" applyFill="1" applyBorder="1" applyAlignment="1">
      <alignment horizontal="center" vertical="center"/>
    </xf>
    <xf numFmtId="0" fontId="4" fillId="24" borderId="23" xfId="0" applyFont="1" applyFill="1" applyBorder="1" applyAlignment="1">
      <alignment horizontal="center" vertical="center"/>
    </xf>
    <xf numFmtId="0" fontId="4" fillId="24" borderId="23" xfId="0" applyFont="1" applyFill="1" applyBorder="1" applyAlignment="1">
      <alignment horizontal="left" vertical="center"/>
    </xf>
    <xf numFmtId="0" fontId="4" fillId="2" borderId="1" xfId="5" applyFont="1" applyFill="1" applyAlignment="1">
      <alignment horizontal="left" vertical="center"/>
    </xf>
    <xf numFmtId="0" fontId="29" fillId="0" borderId="1" xfId="5" applyFont="1" applyAlignment="1"/>
    <xf numFmtId="0" fontId="4" fillId="27" borderId="3" xfId="5" applyFont="1" applyFill="1" applyBorder="1" applyAlignment="1">
      <alignment horizontal="center" vertical="center"/>
    </xf>
    <xf numFmtId="0" fontId="4" fillId="27" borderId="15" xfId="5" applyFont="1" applyFill="1" applyBorder="1" applyAlignment="1">
      <alignment horizontal="center" vertical="center"/>
    </xf>
    <xf numFmtId="0" fontId="4" fillId="27" borderId="3" xfId="5" applyFont="1" applyFill="1" applyBorder="1" applyAlignment="1">
      <alignment vertical="center"/>
    </xf>
    <xf numFmtId="0" fontId="4" fillId="27" borderId="15" xfId="5" applyFont="1" applyFill="1" applyBorder="1" applyAlignment="1">
      <alignment vertical="center"/>
    </xf>
    <xf numFmtId="0" fontId="4" fillId="27" borderId="48" xfId="5" applyFont="1" applyFill="1" applyBorder="1" applyAlignment="1">
      <alignment horizontal="center" vertical="center"/>
    </xf>
    <xf numFmtId="0" fontId="4" fillId="27" borderId="1" xfId="5" applyFont="1" applyFill="1" applyAlignment="1">
      <alignment horizontal="center" vertical="center"/>
    </xf>
    <xf numFmtId="0" fontId="4" fillId="27" borderId="24" xfId="5" applyFont="1" applyFill="1" applyBorder="1" applyAlignment="1">
      <alignment horizontal="center" vertical="center"/>
    </xf>
    <xf numFmtId="0" fontId="34" fillId="28" borderId="26" xfId="5" applyFont="1" applyFill="1" applyBorder="1" applyAlignment="1"/>
    <xf numFmtId="0" fontId="13" fillId="20" borderId="30" xfId="5" applyFont="1" applyFill="1" applyBorder="1" applyAlignment="1">
      <alignment horizontal="left"/>
    </xf>
    <xf numFmtId="0" fontId="13" fillId="20" borderId="49" xfId="5" applyFont="1" applyFill="1" applyBorder="1" applyAlignment="1">
      <alignment horizontal="left"/>
    </xf>
    <xf numFmtId="0" fontId="14" fillId="21" borderId="30" xfId="5" applyFont="1" applyFill="1" applyBorder="1" applyAlignment="1">
      <alignment horizontal="left"/>
    </xf>
    <xf numFmtId="0" fontId="14" fillId="21" borderId="49" xfId="5" applyFont="1" applyFill="1" applyBorder="1" applyAlignment="1">
      <alignment horizontal="left"/>
    </xf>
    <xf numFmtId="0" fontId="21" fillId="14" borderId="50" xfId="0" applyFont="1" applyFill="1" applyBorder="1" applyAlignment="1">
      <alignment horizontal="center" vertical="center"/>
    </xf>
    <xf numFmtId="0" fontId="21" fillId="14" borderId="15" xfId="0" applyFont="1" applyFill="1" applyBorder="1" applyAlignment="1">
      <alignment horizontal="center" vertical="center"/>
    </xf>
    <xf numFmtId="0" fontId="21" fillId="14" borderId="51" xfId="0" applyFont="1" applyFill="1" applyBorder="1" applyAlignment="1">
      <alignment horizontal="center" vertical="center"/>
    </xf>
    <xf numFmtId="0" fontId="4" fillId="24" borderId="22" xfId="0" applyFont="1" applyFill="1" applyBorder="1" applyAlignment="1">
      <alignment horizontal="center"/>
    </xf>
    <xf numFmtId="0" fontId="4" fillId="24" borderId="23" xfId="0" applyFont="1" applyFill="1" applyBorder="1" applyAlignment="1">
      <alignment horizontal="center"/>
    </xf>
  </cellXfs>
  <cellStyles count="38">
    <cellStyle name="20% - Accent6 2" xfId="33" xr:uid="{F15A83DA-2B67-41FD-9D5D-CDA5DF60D539}"/>
    <cellStyle name="Accent_1a" xfId="27" xr:uid="{48B30278-5EC0-4FAC-A62D-443A0668EF38}"/>
    <cellStyle name="Admin" xfId="28" xr:uid="{67D62A59-B270-4D94-976F-900BDCF61104}"/>
    <cellStyle name="Bronvermelding" xfId="24" xr:uid="{56E18898-3BF7-4666-8224-CCA3EEC8AAFF}"/>
    <cellStyle name="Commentaar" xfId="25" xr:uid="{88312D68-C4A2-49F7-9358-7C1F5DD43B98}"/>
    <cellStyle name="Form_1a" xfId="22" xr:uid="{57841F48-8D22-41B1-BDBD-52AC5D8F357C}"/>
    <cellStyle name="Hyperlink 2" xfId="9" xr:uid="{B9098F9D-8A37-4C82-842E-6B6509C1C9F3}"/>
    <cellStyle name="Hyperlink 3" xfId="8" xr:uid="{006818E1-A57C-4960-AE65-3BCE52FD8B9A}"/>
    <cellStyle name="Invoer 2" xfId="23" xr:uid="{2D81A6B0-639B-4EA8-9EBF-79347E56BFE0}"/>
    <cellStyle name="Komma" xfId="1" builtinId="3"/>
    <cellStyle name="Komma 2" xfId="3" xr:uid="{80EB8D95-F23B-4044-9F81-86DC9FBFE33F}"/>
    <cellStyle name="Komma 2 2" xfId="11" xr:uid="{B4A8E3D4-3E08-4156-9A3F-BF61684F5998}"/>
    <cellStyle name="Komma 3" xfId="34" xr:uid="{7538A57E-55AA-4652-B588-AA24CF8BF667}"/>
    <cellStyle name="Komma 4" xfId="10" xr:uid="{BAC38B8A-89AA-47D3-B965-A6687D994804}"/>
    <cellStyle name="Named_Range" xfId="26" xr:uid="{E760E5F5-E70D-40A2-A623-67B3B08A29CF}"/>
    <cellStyle name="Niv_Bla_1" xfId="21" xr:uid="{8C261DA9-8F9D-4493-94EF-C2CD053029C0}"/>
    <cellStyle name="Normal 2" xfId="18" xr:uid="{C3F8DBCA-FDD7-4774-AA60-C190E80B973D}"/>
    <cellStyle name="Normal 3" xfId="37" xr:uid="{7C6827C0-D24A-4FD0-BF0F-4E9366424D3A}"/>
    <cellStyle name="Percent 2" xfId="17" xr:uid="{BDE148EB-999C-48DF-9FD7-995476CBC4AA}"/>
    <cellStyle name="Percent 3" xfId="36" xr:uid="{08CE527D-0346-400F-8230-7305CA17A4E4}"/>
    <cellStyle name="Procent" xfId="2" builtinId="5"/>
    <cellStyle name="Procent 2" xfId="6" xr:uid="{149188C1-BFD1-9B48-941D-070B7DA428CB}"/>
    <cellStyle name="Procent 2 2" xfId="13" xr:uid="{A6E5D639-308F-4AC7-B129-6164928D88CC}"/>
    <cellStyle name="Procent 3" xfId="29" xr:uid="{1E3E71D8-484E-4525-BC52-D202A819403B}"/>
    <cellStyle name="Procent 4" xfId="32" xr:uid="{1B9EC2F6-C331-4F34-8A40-56386BB66CE5}"/>
    <cellStyle name="Procent 5" xfId="12" xr:uid="{72654781-BA9F-48F4-900F-DF4AA8F70C88}"/>
    <cellStyle name="Standaard" xfId="0" builtinId="0"/>
    <cellStyle name="Standaard 10" xfId="16" xr:uid="{A98D7A3F-8834-4C25-986C-2B2F64AE19AC}"/>
    <cellStyle name="Standaard 2" xfId="4" xr:uid="{BE3A4D3E-D8D0-4BA8-871F-14D469ACC9ED}"/>
    <cellStyle name="Standaard 2 2" xfId="14" xr:uid="{B168BD04-17C9-45BD-A8B6-1F2FEADCBDFF}"/>
    <cellStyle name="Standaard 3" xfId="5" xr:uid="{B54866B3-2232-C247-8A18-76751F1858B2}"/>
    <cellStyle name="Standaard 3 2" xfId="35" xr:uid="{8827D47D-D058-49C1-B500-9D80B447B9EC}"/>
    <cellStyle name="Standaard 3 3" xfId="15" xr:uid="{8C986346-7089-4653-9BFB-D8814DC01A2B}"/>
    <cellStyle name="Standaard 4" xfId="20" xr:uid="{E1C20ACD-CE88-486C-A298-CBF045EEBFCB}"/>
    <cellStyle name="Standaard 5" xfId="30" xr:uid="{E47666E5-2EEF-41F6-86BE-17FB45967713}"/>
    <cellStyle name="Standaard 6" xfId="31" xr:uid="{1A543862-5375-4B5C-8BFC-822BECE711FA}"/>
    <cellStyle name="Standaard 7" xfId="7" xr:uid="{D23E02AC-9E0A-4052-AF0A-DEB77728C032}"/>
    <cellStyle name="Tabel_Cel" xfId="19" xr:uid="{2E03EAA3-C1D3-4964-9183-84B842C98C57}"/>
  </cellStyles>
  <dxfs count="9"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</dxfs>
  <tableStyles count="0" defaultTableStyle="TableStyleMedium2" defaultPivotStyle="PivotStyleLight16"/>
  <colors>
    <mruColors>
      <color rgb="FF224F92"/>
      <color rgb="FFF58930"/>
      <color rgb="FF6BBC93"/>
      <color rgb="FF7F7F7F"/>
      <color rgb="FF61B57D"/>
      <color rgb="FFE2E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nl-NL">
                <a:solidFill>
                  <a:srgbClr val="7F7F7F"/>
                </a:solidFill>
              </a:rPr>
              <a:t>CO</a:t>
            </a:r>
            <a:r>
              <a:rPr lang="nl-NL" baseline="-25000">
                <a:solidFill>
                  <a:srgbClr val="7F7F7F"/>
                </a:solidFill>
              </a:rPr>
              <a:t>2</a:t>
            </a:r>
            <a:r>
              <a:rPr lang="nl-NL">
                <a:solidFill>
                  <a:srgbClr val="7F7F7F"/>
                </a:solidFill>
              </a:rPr>
              <a:t>-footprint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9209965660767225"/>
          <c:y val="0.1871146106736658"/>
          <c:w val="0.35673526420708201"/>
          <c:h val="0.7464589506956791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B54-48C6-BD88-1DE85D0377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B54-48C6-BD88-1DE85D0377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B54-48C6-BD88-1DE85D0377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B54-48C6-BD88-1DE85D0377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B54-48C6-BD88-1DE85D0377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B54-48C6-BD88-1DE85D0377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B54-48C6-BD88-1DE85D0377A8}"/>
              </c:ext>
            </c:extLst>
          </c:dPt>
          <c:dLbls>
            <c:dLbl>
              <c:idx val="3"/>
              <c:layout>
                <c:manualLayout>
                  <c:x val="1.3321748656784378E-3"/>
                  <c:y val="-3.42679134730687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54-48C6-BD88-1DE85D0377A8}"/>
                </c:ext>
              </c:extLst>
            </c:dLbl>
            <c:dLbl>
              <c:idx val="4"/>
              <c:layout>
                <c:manualLayout>
                  <c:x val="7.9930491940708708E-3"/>
                  <c:y val="3.712357292915783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54-48C6-BD88-1DE85D0377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nl-N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'CO2-emissie-inventaris'!$B$38:$B$44</c:f>
              <c:strCache>
                <c:ptCount val="7"/>
                <c:pt idx="0">
                  <c:v>Aardgasverbruik</c:v>
                </c:pt>
                <c:pt idx="1">
                  <c:v>Brandstofverbruik diesel</c:v>
                </c:pt>
                <c:pt idx="2">
                  <c:v>Brandstofverbruik wagenpark benzine</c:v>
                </c:pt>
                <c:pt idx="3">
                  <c:v>Elektriciteitsverbruik vastgoed</c:v>
                </c:pt>
                <c:pt idx="4">
                  <c:v>Elektriciteitsverbruik wagenpark</c:v>
                </c:pt>
                <c:pt idx="5">
                  <c:v>Zakelijk vervoer</c:v>
                </c:pt>
                <c:pt idx="6">
                  <c:v>Vliegreizen</c:v>
                </c:pt>
              </c:strCache>
            </c:strRef>
          </c:cat>
          <c:val>
            <c:numRef>
              <c:f>'CO2-emissie-inventaris'!$C$38:$C$44</c:f>
              <c:numCache>
                <c:formatCode>_(* #,##0.00_);_(* \(#,##0.00\);_(* "-"??_);_(@_)</c:formatCode>
                <c:ptCount val="7"/>
                <c:pt idx="0">
                  <c:v>2223.709450989275</c:v>
                </c:pt>
                <c:pt idx="1">
                  <c:v>133.68818540000001</c:v>
                </c:pt>
                <c:pt idx="2">
                  <c:v>104.18048631900001</c:v>
                </c:pt>
                <c:pt idx="3">
                  <c:v>34.056321899047923</c:v>
                </c:pt>
                <c:pt idx="4">
                  <c:v>4.103720472</c:v>
                </c:pt>
                <c:pt idx="5">
                  <c:v>78.084167147422349</c:v>
                </c:pt>
                <c:pt idx="6">
                  <c:v>41.745252403999999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B54-48C6-BD88-1DE85D037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nl-NL"/>
        </a:p>
      </c:txPr>
    </c:legend>
    <c:plotVisOnly val="1"/>
    <c:dispBlanksAs val="zero"/>
    <c:showDLblsOverMax val="1"/>
  </c:chart>
  <c:spPr>
    <a:solidFill>
      <a:schemeClr val="lt1"/>
    </a:solidFill>
    <a:ln w="6350" cap="flat" cmpd="sng" algn="ctr">
      <a:noFill/>
      <a:prstDash val="solid"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nl-NL" sz="1800" b="1">
                <a:solidFill>
                  <a:srgbClr val="7F7F7F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Voortgang CO2-uitstoot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'CO2-voortgang'!$B$30</c:f>
              <c:strCache>
                <c:ptCount val="1"/>
                <c:pt idx="0">
                  <c:v>Absolute voortgang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'CO2-voortgang'!$C$28:$J$28</c:f>
              <c:numCache>
                <c:formatCode>0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'CO2-voortgang'!$C$30:$G$30</c:f>
              <c:numCache>
                <c:formatCode>0%</c:formatCode>
                <c:ptCount val="5"/>
                <c:pt idx="0">
                  <c:v>1</c:v>
                </c:pt>
                <c:pt idx="1">
                  <c:v>1.1840685519529264</c:v>
                </c:pt>
                <c:pt idx="2">
                  <c:v>0.17392258657817256</c:v>
                </c:pt>
                <c:pt idx="3">
                  <c:v>0.15421911564022822</c:v>
                </c:pt>
                <c:pt idx="4" formatCode="0.0000%">
                  <c:v>0.10716516021514422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2E-4AE6-A234-10B1574AC348}"/>
            </c:ext>
          </c:extLst>
        </c:ser>
        <c:ser>
          <c:idx val="2"/>
          <c:order val="1"/>
          <c:tx>
            <c:strRef>
              <c:f>'CO2-voortgang'!$B$31</c:f>
              <c:strCache>
                <c:ptCount val="1"/>
                <c:pt idx="0">
                  <c:v>Verwachting doelstelling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'CO2-voortgang'!$C$28:$J$28</c:f>
              <c:numCache>
                <c:formatCode>0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'CO2-voortgang'!$C$31:$G$31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 formatCode="0.0%">
                  <c:v>0.8</c:v>
                </c:pt>
                <c:pt idx="3" formatCode="0.0%">
                  <c:v>0.84</c:v>
                </c:pt>
                <c:pt idx="4" formatCode="0.0%">
                  <c:v>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2E-4AE6-A234-10B1574AC348}"/>
            </c:ext>
          </c:extLst>
        </c:ser>
        <c:ser>
          <c:idx val="3"/>
          <c:order val="2"/>
          <c:tx>
            <c:strRef>
              <c:f>'CO2-voortgang'!#REF!</c:f>
              <c:strCache>
                <c:ptCount val="1"/>
                <c:pt idx="0">
                  <c:v>#VERW!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'CO2-voortgang'!#REF!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2E-4AE6-A234-10B1574AC348}"/>
            </c:ext>
          </c:extLst>
        </c:ser>
        <c:ser>
          <c:idx val="4"/>
          <c:order val="3"/>
          <c:tx>
            <c:strRef>
              <c:f>'CO2-voortgang'!#REF!</c:f>
              <c:strCache>
                <c:ptCount val="1"/>
                <c:pt idx="0">
                  <c:v>#VERW!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'CO2-voortgang'!#REF!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2E-4AE6-A234-10B1574AC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3817776"/>
        <c:axId val="413823536"/>
      </c:lineChart>
      <c:catAx>
        <c:axId val="4138177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13823536"/>
        <c:crosses val="autoZero"/>
        <c:auto val="1"/>
        <c:lblAlgn val="ctr"/>
        <c:lblOffset val="100"/>
        <c:noMultiLvlLbl val="0"/>
      </c:catAx>
      <c:valAx>
        <c:axId val="41382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1381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1"/>
          <c:order val="1"/>
          <c:tx>
            <c:strRef>
              <c:f>'Omrekening naar GJ'!$F$9</c:f>
              <c:strCache>
                <c:ptCount val="1"/>
                <c:pt idx="0">
                  <c:v>VERBRUIK (GJ)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D7-403A-B15F-89897DFCB4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D7-403A-B15F-89897DFCB46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D7-403A-B15F-89897DFCB46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D7-403A-B15F-89897DFCB46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3D7-403A-B15F-89897DFCB46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3D7-403A-B15F-89897DFCB4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'Omrekening naar GJ'!$B$10:$B$15</c:f>
              <c:strCache>
                <c:ptCount val="6"/>
                <c:pt idx="0">
                  <c:v>Aardgasverbruik</c:v>
                </c:pt>
                <c:pt idx="1">
                  <c:v>Brandstofverbruik - diesel</c:v>
                </c:pt>
                <c:pt idx="2">
                  <c:v>Brandstofverbruik - benzine</c:v>
                </c:pt>
                <c:pt idx="3">
                  <c:v>Elektriciteitsverbruik - grijze stroom</c:v>
                </c:pt>
                <c:pt idx="4">
                  <c:v>Elektriciteitsverbruik - groene stroom</c:v>
                </c:pt>
                <c:pt idx="5">
                  <c:v>Elektriciteitsverbruik - wagens</c:v>
                </c:pt>
              </c:strCache>
            </c:strRef>
          </c:cat>
          <c:val>
            <c:numRef>
              <c:f>'Omrekening naar GJ'!$F$10:$F$15</c:f>
              <c:numCache>
                <c:formatCode>_ * #,##0.0_ ;_ * \-#,##0.0_ ;_ * "-"??_ ;_ @_ </c:formatCode>
                <c:ptCount val="6"/>
                <c:pt idx="0">
                  <c:v>33853.008236561102</c:v>
                </c:pt>
                <c:pt idx="1">
                  <c:v>1490.4426075000001</c:v>
                </c:pt>
                <c:pt idx="2">
                  <c:v>1144.8405089999999</c:v>
                </c:pt>
                <c:pt idx="3">
                  <c:v>389.8552638443644</c:v>
                </c:pt>
                <c:pt idx="4">
                  <c:v>416323.73214323999</c:v>
                </c:pt>
                <c:pt idx="5">
                  <c:v>46.976800140000002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A2-4F70-9169-8BE7029FDAF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'Omrekening naar GJ'!$E$9</c15:sqref>
                        </c15:formulaRef>
                      </c:ext>
                    </c:extLst>
                    <c:strCache>
                      <c:ptCount val="1"/>
                      <c:pt idx="0">
                        <c:v>CONVERSIEFACTOR 
(g CO2 per eenheid)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63D7-403A-B15F-89897DFCB46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63D7-403A-B15F-89897DFCB46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63D7-403A-B15F-89897DFCB46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63D7-403A-B15F-89897DFCB46E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63D7-403A-B15F-89897DFCB46E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63D7-403A-B15F-89897DFCB46E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NL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'Omrekening naar GJ'!$B$10:$B$15</c15:sqref>
                        </c15:formulaRef>
                      </c:ext>
                    </c:extLst>
                    <c:strCache>
                      <c:ptCount val="6"/>
                      <c:pt idx="0">
                        <c:v>Aardgasverbruik</c:v>
                      </c:pt>
                      <c:pt idx="1">
                        <c:v>Brandstofverbruik - diesel</c:v>
                      </c:pt>
                      <c:pt idx="2">
                        <c:v>Brandstofverbruik - benzine</c:v>
                      </c:pt>
                      <c:pt idx="3">
                        <c:v>Elektriciteitsverbruik - grijze stroom</c:v>
                      </c:pt>
                      <c:pt idx="4">
                        <c:v>Elektriciteitsverbruik - groene stroom</c:v>
                      </c:pt>
                      <c:pt idx="5">
                        <c:v>Elektriciteitsverbruik - wagens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'Omrekening naar GJ'!$E$10:$E$15</c15:sqref>
                        </c15:formulaRef>
                      </c:ext>
                    </c:extLst>
                    <c:numCache>
                      <c:formatCode>#,##0.00000</c:formatCode>
                      <c:ptCount val="6"/>
                      <c:pt idx="0">
                        <c:v>3.1649999999999998E-2</c:v>
                      </c:pt>
                      <c:pt idx="1">
                        <c:v>3.6299999999999999E-2</c:v>
                      </c:pt>
                      <c:pt idx="2">
                        <c:v>3.1E-2</c:v>
                      </c:pt>
                      <c:pt idx="3">
                        <c:v>5.2199999999999998E-3</c:v>
                      </c:pt>
                      <c:pt idx="4">
                        <c:v>5.2199999999999998E-3</c:v>
                      </c:pt>
                      <c:pt idx="5">
                        <c:v>5.2199999999999998E-3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6A2-4F70-9169-8BE7029FDAFB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sz="10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Aardgasverbruik per vestiging Delfland</a:t>
            </a:r>
            <a:endParaRPr lang="nl-NL" sz="100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Energiebeoordelingen!$C$3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Energiebeoordelingen!$B$5:$B$14</c15:sqref>
                  </c15:fullRef>
                </c:ext>
              </c:extLst>
              <c:f>Energiebeoordelingen!$B$5:$B$10</c:f>
              <c:strCache>
                <c:ptCount val="6"/>
                <c:pt idx="0">
                  <c:v>Nieuwe Waterweg</c:v>
                </c:pt>
                <c:pt idx="1">
                  <c:v>Houtrust</c:v>
                </c:pt>
                <c:pt idx="2">
                  <c:v>Groote Lucht</c:v>
                </c:pt>
                <c:pt idx="3">
                  <c:v>Harnaschpolder</c:v>
                </c:pt>
                <c:pt idx="4">
                  <c:v>Watersystemen</c:v>
                </c:pt>
                <c:pt idx="5">
                  <c:v>Facilitair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Energiebeoordelingen!$C$5:$C$14</c15:sqref>
                  </c15:fullRef>
                </c:ext>
              </c:extLst>
              <c:f>Energiebeoordelingen!$C$5:$C$10</c:f>
              <c:numCache>
                <c:formatCode>#,##0</c:formatCode>
                <c:ptCount val="6"/>
                <c:pt idx="0">
                  <c:v>2662</c:v>
                </c:pt>
                <c:pt idx="1">
                  <c:v>9335</c:v>
                </c:pt>
                <c:pt idx="2">
                  <c:v>423364</c:v>
                </c:pt>
                <c:pt idx="3">
                  <c:v>327133</c:v>
                </c:pt>
                <c:pt idx="4">
                  <c:v>32036</c:v>
                </c:pt>
                <c:pt idx="5">
                  <c:v>55816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B855-4A46-824A-F20FB89355B0}"/>
            </c:ext>
          </c:extLst>
        </c:ser>
        <c:ser>
          <c:idx val="2"/>
          <c:order val="1"/>
          <c:tx>
            <c:strRef>
              <c:f>Energiebeoordelingen!$D$3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Energiebeoordelingen!$B$5:$B$14</c15:sqref>
                  </c15:fullRef>
                </c:ext>
              </c:extLst>
              <c:f>Energiebeoordelingen!$B$5:$B$10</c:f>
              <c:strCache>
                <c:ptCount val="6"/>
                <c:pt idx="0">
                  <c:v>Nieuwe Waterweg</c:v>
                </c:pt>
                <c:pt idx="1">
                  <c:v>Houtrust</c:v>
                </c:pt>
                <c:pt idx="2">
                  <c:v>Groote Lucht</c:v>
                </c:pt>
                <c:pt idx="3">
                  <c:v>Harnaschpolder</c:v>
                </c:pt>
                <c:pt idx="4">
                  <c:v>Watersystemen</c:v>
                </c:pt>
                <c:pt idx="5">
                  <c:v>Facilitair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Energiebeoordelingen!$D$5:$D$14</c15:sqref>
                  </c15:fullRef>
                </c:ext>
              </c:extLst>
              <c:f>Energiebeoordelingen!$D$5:$D$10</c:f>
              <c:numCache>
                <c:formatCode>#,##0</c:formatCode>
                <c:ptCount val="6"/>
                <c:pt idx="0">
                  <c:v>11050</c:v>
                </c:pt>
                <c:pt idx="1">
                  <c:v>40029</c:v>
                </c:pt>
                <c:pt idx="2">
                  <c:v>447554</c:v>
                </c:pt>
                <c:pt idx="3">
                  <c:v>924165</c:v>
                </c:pt>
                <c:pt idx="4">
                  <c:v>19840</c:v>
                </c:pt>
                <c:pt idx="5">
                  <c:v>58378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B855-4A46-824A-F20FB89355B0}"/>
            </c:ext>
          </c:extLst>
        </c:ser>
        <c:ser>
          <c:idx val="3"/>
          <c:order val="2"/>
          <c:tx>
            <c:strRef>
              <c:f>Energiebeoordelingen!$E$3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Energiebeoordelingen!$B$5:$B$14</c15:sqref>
                  </c15:fullRef>
                </c:ext>
              </c:extLst>
              <c:f>Energiebeoordelingen!$B$5:$B$10</c:f>
              <c:strCache>
                <c:ptCount val="6"/>
                <c:pt idx="0">
                  <c:v>Nieuwe Waterweg</c:v>
                </c:pt>
                <c:pt idx="1">
                  <c:v>Houtrust</c:v>
                </c:pt>
                <c:pt idx="2">
                  <c:v>Groote Lucht</c:v>
                </c:pt>
                <c:pt idx="3">
                  <c:v>Harnaschpolder</c:v>
                </c:pt>
                <c:pt idx="4">
                  <c:v>Watersystemen</c:v>
                </c:pt>
                <c:pt idx="5">
                  <c:v>Facilitair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Energiebeoordelingen!$E$5:$E$14</c15:sqref>
                  </c15:fullRef>
                </c:ext>
              </c:extLst>
              <c:f>Energiebeoordelingen!$E$5:$E$10</c:f>
              <c:numCache>
                <c:formatCode>#,##0</c:formatCode>
                <c:ptCount val="6"/>
                <c:pt idx="0">
                  <c:v>10389</c:v>
                </c:pt>
                <c:pt idx="1">
                  <c:v>482075</c:v>
                </c:pt>
                <c:pt idx="2">
                  <c:v>421887</c:v>
                </c:pt>
                <c:pt idx="3">
                  <c:v>1028829</c:v>
                </c:pt>
                <c:pt idx="4">
                  <c:v>16562</c:v>
                </c:pt>
                <c:pt idx="5">
                  <c:v>80318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B855-4A46-824A-F20FB89355B0}"/>
            </c:ext>
          </c:extLst>
        </c:ser>
        <c:ser>
          <c:idx val="4"/>
          <c:order val="3"/>
          <c:tx>
            <c:strRef>
              <c:f>Energiebeoordelingen!$F$3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Energiebeoordelingen!$B$5:$B$14</c15:sqref>
                  </c15:fullRef>
                </c:ext>
              </c:extLst>
              <c:f>Energiebeoordelingen!$B$5:$B$10</c:f>
              <c:strCache>
                <c:ptCount val="6"/>
                <c:pt idx="0">
                  <c:v>Nieuwe Waterweg</c:v>
                </c:pt>
                <c:pt idx="1">
                  <c:v>Houtrust</c:v>
                </c:pt>
                <c:pt idx="2">
                  <c:v>Groote Lucht</c:v>
                </c:pt>
                <c:pt idx="3">
                  <c:v>Harnaschpolder</c:v>
                </c:pt>
                <c:pt idx="4">
                  <c:v>Watersystemen</c:v>
                </c:pt>
                <c:pt idx="5">
                  <c:v>Facilitair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Energiebeoordelingen!$F$5:$F$14</c15:sqref>
                  </c15:fullRef>
                </c:ext>
              </c:extLst>
              <c:f>Energiebeoordelingen!$F$5:$F$10</c:f>
              <c:numCache>
                <c:formatCode>#,##0</c:formatCode>
                <c:ptCount val="6"/>
                <c:pt idx="0">
                  <c:v>25337</c:v>
                </c:pt>
                <c:pt idx="1">
                  <c:v>92909</c:v>
                </c:pt>
                <c:pt idx="2">
                  <c:v>477403</c:v>
                </c:pt>
                <c:pt idx="3">
                  <c:v>953581</c:v>
                </c:pt>
                <c:pt idx="4">
                  <c:v>7183</c:v>
                </c:pt>
                <c:pt idx="5">
                  <c:v>21572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B855-4A46-824A-F20FB89355B0}"/>
            </c:ext>
          </c:extLst>
        </c:ser>
        <c:ser>
          <c:idx val="0"/>
          <c:order val="4"/>
          <c:tx>
            <c:strRef>
              <c:f>Energiebeoordelingen!$G$3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Energiebeoordelingen!$B$5:$B$14</c15:sqref>
                  </c15:fullRef>
                </c:ext>
              </c:extLst>
              <c:f>Energiebeoordelingen!$B$5:$B$10</c:f>
              <c:strCache>
                <c:ptCount val="6"/>
                <c:pt idx="0">
                  <c:v>Nieuwe Waterweg</c:v>
                </c:pt>
                <c:pt idx="1">
                  <c:v>Houtrust</c:v>
                </c:pt>
                <c:pt idx="2">
                  <c:v>Groote Lucht</c:v>
                </c:pt>
                <c:pt idx="3">
                  <c:v>Harnaschpolder</c:v>
                </c:pt>
                <c:pt idx="4">
                  <c:v>Watersystemen</c:v>
                </c:pt>
                <c:pt idx="5">
                  <c:v>Facilitair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Energiebeoordelingen!$G$5:$G$14</c15:sqref>
                  </c15:fullRef>
                </c:ext>
              </c:extLst>
              <c:f>Energiebeoordelingen!$G$5:$G$10</c:f>
              <c:numCache>
                <c:formatCode>#,##0</c:formatCode>
                <c:ptCount val="6"/>
                <c:pt idx="0">
                  <c:v>6655</c:v>
                </c:pt>
                <c:pt idx="1">
                  <c:v>43677</c:v>
                </c:pt>
                <c:pt idx="2">
                  <c:v>455720</c:v>
                </c:pt>
                <c:pt idx="3">
                  <c:v>454501</c:v>
                </c:pt>
                <c:pt idx="4">
                  <c:v>0</c:v>
                </c:pt>
                <c:pt idx="5">
                  <c:v>47111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52-4566-A80B-CB202BEBD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459464"/>
        <c:axId val="409460248"/>
      </c:barChart>
      <c:catAx>
        <c:axId val="40945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9460248"/>
        <c:crosses val="autoZero"/>
        <c:auto val="1"/>
        <c:lblAlgn val="ctr"/>
        <c:lblOffset val="100"/>
        <c:noMultiLvlLbl val="0"/>
      </c:catAx>
      <c:valAx>
        <c:axId val="40946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94594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sz="1000" b="1">
                <a:solidFill>
                  <a:srgbClr val="224F92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Figuur</a:t>
            </a:r>
            <a:r>
              <a:rPr lang="nl-NL" sz="1000" b="1" baseline="0">
                <a:solidFill>
                  <a:srgbClr val="224F92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 C</a:t>
            </a:r>
            <a:r>
              <a:rPr lang="nl-NL" sz="1000" baseline="0">
                <a:solidFill>
                  <a:srgbClr val="224F92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. </a:t>
            </a:r>
            <a:r>
              <a:rPr lang="nl-NL" sz="10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Brandstofverbruik per soort</a:t>
            </a:r>
            <a:endParaRPr lang="nl-NL" sz="100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4.8613538721591847E-2"/>
          <c:y val="8.8688260987407216E-2"/>
          <c:w val="0.93098723215607737"/>
          <c:h val="0.77667658436715203"/>
        </c:manualLayout>
      </c:layout>
      <c:lineChart>
        <c:grouping val="standard"/>
        <c:varyColors val="0"/>
        <c:ser>
          <c:idx val="2"/>
          <c:order val="0"/>
          <c:tx>
            <c:strRef>
              <c:f>Energiebeoordelingen!$B$22</c:f>
              <c:strCache>
                <c:ptCount val="1"/>
                <c:pt idx="0">
                  <c:v>Benzine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Energiebeoordelingen!$C$20:$G$20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Energiebeoordelingen!$C$22:$G$22</c:f>
              <c:numCache>
                <c:formatCode>#,##0</c:formatCode>
                <c:ptCount val="5"/>
                <c:pt idx="0">
                  <c:v>28453.702000000001</c:v>
                </c:pt>
                <c:pt idx="1">
                  <c:v>2629.998</c:v>
                </c:pt>
                <c:pt idx="2">
                  <c:v>29302.953000000001</c:v>
                </c:pt>
                <c:pt idx="3">
                  <c:v>31359.660478764479</c:v>
                </c:pt>
                <c:pt idx="4">
                  <c:v>36930.339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93-4470-8E0D-C4D0C413BB65}"/>
            </c:ext>
          </c:extLst>
        </c:ser>
        <c:ser>
          <c:idx val="0"/>
          <c:order val="1"/>
          <c:tx>
            <c:strRef>
              <c:f>Energiebeoordelingen!$B$23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Energiebeoordelingen!$C$20:$G$20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Energiebeoordelingen!$C$23:$G$23</c:f>
              <c:numCache>
                <c:formatCode>#,##0</c:formatCode>
                <c:ptCount val="5"/>
                <c:pt idx="0">
                  <c:v>43738.561999999998</c:v>
                </c:pt>
                <c:pt idx="1">
                  <c:v>42090.157999999996</c:v>
                </c:pt>
                <c:pt idx="2">
                  <c:v>40841.764000000003</c:v>
                </c:pt>
                <c:pt idx="3">
                  <c:v>44703.752484662575</c:v>
                </c:pt>
                <c:pt idx="4">
                  <c:v>41059.025000000001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93-4470-8E0D-C4D0C413BB65}"/>
            </c:ext>
          </c:extLst>
        </c:ser>
        <c:ser>
          <c:idx val="1"/>
          <c:order val="2"/>
          <c:tx>
            <c:strRef>
              <c:f>Energiebeoordelingen!$B$24</c:f>
              <c:strCache>
                <c:ptCount val="1"/>
                <c:pt idx="0">
                  <c:v>Elektriciteit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Energiebeoordelingen!$C$20:$G$20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Energiebeoordelingen!$C$24:$G$24</c:f>
              <c:numCache>
                <c:formatCode>#,##0</c:formatCode>
                <c:ptCount val="5"/>
                <c:pt idx="0">
                  <c:v>155.98699999999999</c:v>
                </c:pt>
                <c:pt idx="1">
                  <c:v>603.55700000000002</c:v>
                </c:pt>
                <c:pt idx="2">
                  <c:v>809.30100000000004</c:v>
                </c:pt>
                <c:pt idx="3">
                  <c:v>2460.567</c:v>
                </c:pt>
                <c:pt idx="4">
                  <c:v>8999.3870000000006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93-4470-8E0D-C4D0C413B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459464"/>
        <c:axId val="409460248"/>
      </c:lineChart>
      <c:catAx>
        <c:axId val="40945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9460248"/>
        <c:crosses val="autoZero"/>
        <c:auto val="1"/>
        <c:lblAlgn val="ctr"/>
        <c:lblOffset val="100"/>
        <c:noMultiLvlLbl val="0"/>
      </c:catAx>
      <c:valAx>
        <c:axId val="40946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9459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sz="1000" b="1">
                <a:solidFill>
                  <a:srgbClr val="224F92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Figuur</a:t>
            </a:r>
            <a:r>
              <a:rPr lang="nl-NL" sz="1000" b="1" baseline="0">
                <a:solidFill>
                  <a:srgbClr val="224F92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 D</a:t>
            </a:r>
            <a:r>
              <a:rPr lang="nl-NL" sz="1000" baseline="0">
                <a:solidFill>
                  <a:srgbClr val="224F92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. </a:t>
            </a:r>
            <a:r>
              <a:rPr lang="nl-NL" sz="10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Zakelijk vervoer per soort</a:t>
            </a:r>
            <a:endParaRPr lang="nl-NL" sz="100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Energiebeoordelingen!$V$22</c:f>
              <c:strCache>
                <c:ptCount val="1"/>
                <c:pt idx="0">
                  <c:v>Gedeclareerde kilometers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Energiebeoordelingen!$W$20:$AA$20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Energiebeoordelingen!$W$22:$AA$22</c:f>
              <c:numCache>
                <c:formatCode>#,##0</c:formatCode>
                <c:ptCount val="5"/>
                <c:pt idx="0">
                  <c:v>2148862.905263158</c:v>
                </c:pt>
                <c:pt idx="1">
                  <c:v>1107371.6105263159</c:v>
                </c:pt>
                <c:pt idx="2">
                  <c:v>189455.17894736843</c:v>
                </c:pt>
                <c:pt idx="3">
                  <c:v>289691.7212631579</c:v>
                </c:pt>
                <c:pt idx="4">
                  <c:v>350421.26642857143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EBE-CF4F-B0FA-F542D9D985F7}"/>
            </c:ext>
          </c:extLst>
        </c:ser>
        <c:ser>
          <c:idx val="3"/>
          <c:order val="1"/>
          <c:tx>
            <c:strRef>
              <c:f>Energiebeoordelingen!$V$24</c:f>
              <c:strCache>
                <c:ptCount val="1"/>
                <c:pt idx="0">
                  <c:v>Treinkilometers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Energiebeoordelingen!$W$20:$AA$20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Energiebeoordelingen!$W$24:$AA$24</c:f>
              <c:numCache>
                <c:formatCode>#,##0</c:formatCode>
                <c:ptCount val="5"/>
                <c:pt idx="0">
                  <c:v>1635100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EBE-CF4F-B0FA-F542D9D985F7}"/>
            </c:ext>
          </c:extLst>
        </c:ser>
        <c:ser>
          <c:idx val="4"/>
          <c:order val="2"/>
          <c:tx>
            <c:strRef>
              <c:f>Energiebeoordelingen!$V$25</c:f>
              <c:strCache>
                <c:ptCount val="1"/>
                <c:pt idx="0">
                  <c:v>Vliegreizen &lt;700 km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Energiebeoordelingen!$W$20:$AA$20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Energiebeoordelingen!$W$25:$Z$25</c:f>
              <c:numCache>
                <c:formatCode>#,##0</c:formatCode>
                <c:ptCount val="4"/>
                <c:pt idx="0">
                  <c:v>7774</c:v>
                </c:pt>
                <c:pt idx="1">
                  <c:v>1960</c:v>
                </c:pt>
                <c:pt idx="2">
                  <c:v>0</c:v>
                </c:pt>
                <c:pt idx="3">
                  <c:v>249.024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EBE-CF4F-B0FA-F542D9D985F7}"/>
            </c:ext>
          </c:extLst>
        </c:ser>
        <c:ser>
          <c:idx val="5"/>
          <c:order val="3"/>
          <c:tx>
            <c:strRef>
              <c:f>Energiebeoordelingen!$V$26</c:f>
              <c:strCache>
                <c:ptCount val="1"/>
                <c:pt idx="0">
                  <c:v>Vliegreizen 700-2500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Energiebeoordelingen!$W$20:$AA$20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Energiebeoordelingen!$W$26:$AA$26</c:f>
              <c:numCache>
                <c:formatCode>#,##0</c:formatCode>
                <c:ptCount val="5"/>
                <c:pt idx="0">
                  <c:v>5786</c:v>
                </c:pt>
                <c:pt idx="1">
                  <c:v>206567</c:v>
                </c:pt>
                <c:pt idx="2">
                  <c:v>5006</c:v>
                </c:pt>
                <c:pt idx="3">
                  <c:v>209.42400000000001</c:v>
                </c:pt>
                <c:pt idx="4">
                  <c:v>5909.6090000000004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EBE-CF4F-B0FA-F542D9D985F7}"/>
            </c:ext>
          </c:extLst>
        </c:ser>
        <c:ser>
          <c:idx val="6"/>
          <c:order val="4"/>
          <c:tx>
            <c:strRef>
              <c:f>Energiebeoordelingen!$V$27</c:f>
              <c:strCache>
                <c:ptCount val="1"/>
                <c:pt idx="0">
                  <c:v>Vliegreizen &gt;2500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Energiebeoordelingen!$W$20:$AA$20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Energiebeoordelingen!$W$27:$AA$27</c:f>
              <c:numCache>
                <c:formatCode>#,##0</c:formatCode>
                <c:ptCount val="5"/>
                <c:pt idx="0">
                  <c:v>176578</c:v>
                </c:pt>
                <c:pt idx="1">
                  <c:v>58826</c:v>
                </c:pt>
                <c:pt idx="2">
                  <c:v>0</c:v>
                </c:pt>
                <c:pt idx="3">
                  <c:v>303020</c:v>
                </c:pt>
                <c:pt idx="4">
                  <c:v>258246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EBE-CF4F-B0FA-F542D9D985F7}"/>
            </c:ext>
          </c:extLst>
        </c:ser>
        <c:ser>
          <c:idx val="0"/>
          <c:order val="5"/>
          <c:tx>
            <c:strRef>
              <c:f>Energiebeoordelingen!$V$23</c:f>
              <c:strCache>
                <c:ptCount val="1"/>
                <c:pt idx="0">
                  <c:v>Openbaar vervoer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Energiebeoordelingen!$W$20:$AA$20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Energiebeoordelingen!$W$23:$AA$23</c:f>
              <c:numCache>
                <c:formatCode>#,##0</c:formatCode>
                <c:ptCount val="5"/>
                <c:pt idx="0">
                  <c:v>508.38</c:v>
                </c:pt>
                <c:pt idx="1">
                  <c:v>384.8</c:v>
                </c:pt>
                <c:pt idx="2">
                  <c:v>134946.66</c:v>
                </c:pt>
                <c:pt idx="3">
                  <c:v>349494.0153846154</c:v>
                </c:pt>
                <c:pt idx="4">
                  <c:v>522643.13633540372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EBE-CF4F-B0FA-F542D9D98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459464"/>
        <c:axId val="409460248"/>
      </c:lineChart>
      <c:catAx>
        <c:axId val="40945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9460248"/>
        <c:crosses val="autoZero"/>
        <c:auto val="1"/>
        <c:lblAlgn val="ctr"/>
        <c:lblOffset val="100"/>
        <c:noMultiLvlLbl val="0"/>
      </c:catAx>
      <c:valAx>
        <c:axId val="40946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9459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sz="10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Elektriciteitsverbruik per verbruiker</a:t>
            </a:r>
            <a:endParaRPr lang="nl-NL" sz="100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Energiebeoordelingen!$C$3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Energiebeoordelingen!$V$5:$V$14</c:f>
              <c:strCache>
                <c:ptCount val="10"/>
                <c:pt idx="0">
                  <c:v>Nieuwe Waterweg</c:v>
                </c:pt>
                <c:pt idx="1">
                  <c:v>Houtrust</c:v>
                </c:pt>
                <c:pt idx="2">
                  <c:v>Groote Lucht</c:v>
                </c:pt>
                <c:pt idx="3">
                  <c:v>Harnaschpolder</c:v>
                </c:pt>
                <c:pt idx="4">
                  <c:v>Watersystemen</c:v>
                </c:pt>
                <c:pt idx="5">
                  <c:v>Facilitair</c:v>
                </c:pt>
                <c:pt idx="6">
                  <c:v>GR Slibverwerking 2009</c:v>
                </c:pt>
                <c:pt idx="7">
                  <c:v>GR RBG</c:v>
                </c:pt>
                <c:pt idx="8">
                  <c:v>GR AQUON</c:v>
                </c:pt>
                <c:pt idx="9">
                  <c:v>GR AquaMinerals</c:v>
                </c:pt>
              </c:strCache>
            </c:strRef>
          </c:cat>
          <c:val>
            <c:numRef>
              <c:f>Energiebeoordelingen!$W$5:$W$14</c:f>
              <c:numCache>
                <c:formatCode>#,##0</c:formatCode>
                <c:ptCount val="10"/>
                <c:pt idx="0">
                  <c:v>1946765</c:v>
                </c:pt>
                <c:pt idx="1">
                  <c:v>9625157</c:v>
                </c:pt>
                <c:pt idx="2">
                  <c:v>9746444</c:v>
                </c:pt>
                <c:pt idx="3">
                  <c:v>24116233</c:v>
                </c:pt>
                <c:pt idx="4">
                  <c:v>5406947</c:v>
                </c:pt>
                <c:pt idx="5">
                  <c:v>538560</c:v>
                </c:pt>
                <c:pt idx="6">
                  <c:v>4631800</c:v>
                </c:pt>
                <c:pt idx="7">
                  <c:v>92629.393999999986</c:v>
                </c:pt>
                <c:pt idx="8">
                  <c:v>134573.29200000002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E-DF42-A8F3-29021FB1D624}"/>
            </c:ext>
          </c:extLst>
        </c:ser>
        <c:ser>
          <c:idx val="2"/>
          <c:order val="1"/>
          <c:tx>
            <c:strRef>
              <c:f>Energiebeoordelingen!$D$3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Energiebeoordelingen!$V$5:$V$14</c:f>
              <c:strCache>
                <c:ptCount val="10"/>
                <c:pt idx="0">
                  <c:v>Nieuwe Waterweg</c:v>
                </c:pt>
                <c:pt idx="1">
                  <c:v>Houtrust</c:v>
                </c:pt>
                <c:pt idx="2">
                  <c:v>Groote Lucht</c:v>
                </c:pt>
                <c:pt idx="3">
                  <c:v>Harnaschpolder</c:v>
                </c:pt>
                <c:pt idx="4">
                  <c:v>Watersystemen</c:v>
                </c:pt>
                <c:pt idx="5">
                  <c:v>Facilitair</c:v>
                </c:pt>
                <c:pt idx="6">
                  <c:v>GR Slibverwerking 2009</c:v>
                </c:pt>
                <c:pt idx="7">
                  <c:v>GR RBG</c:v>
                </c:pt>
                <c:pt idx="8">
                  <c:v>GR AQUON</c:v>
                </c:pt>
                <c:pt idx="9">
                  <c:v>GR AquaMinerals</c:v>
                </c:pt>
              </c:strCache>
            </c:strRef>
          </c:cat>
          <c:val>
            <c:numRef>
              <c:f>Energiebeoordelingen!$X$5:$X$14</c:f>
              <c:numCache>
                <c:formatCode>#,##0</c:formatCode>
                <c:ptCount val="10"/>
                <c:pt idx="0">
                  <c:v>2451325</c:v>
                </c:pt>
                <c:pt idx="1">
                  <c:v>9641890</c:v>
                </c:pt>
                <c:pt idx="2">
                  <c:v>8914312</c:v>
                </c:pt>
                <c:pt idx="3">
                  <c:v>36226744</c:v>
                </c:pt>
                <c:pt idx="4">
                  <c:v>6160827</c:v>
                </c:pt>
                <c:pt idx="5">
                  <c:v>451101</c:v>
                </c:pt>
                <c:pt idx="6">
                  <c:v>4742600</c:v>
                </c:pt>
                <c:pt idx="7">
                  <c:v>84542.743999999992</c:v>
                </c:pt>
                <c:pt idx="8">
                  <c:v>141087.77100000001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2E-DF42-A8F3-29021FB1D624}"/>
            </c:ext>
          </c:extLst>
        </c:ser>
        <c:ser>
          <c:idx val="3"/>
          <c:order val="2"/>
          <c:tx>
            <c:strRef>
              <c:f>Energiebeoordelingen!$E$3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Energiebeoordelingen!$V$5:$V$14</c:f>
              <c:strCache>
                <c:ptCount val="10"/>
                <c:pt idx="0">
                  <c:v>Nieuwe Waterweg</c:v>
                </c:pt>
                <c:pt idx="1">
                  <c:v>Houtrust</c:v>
                </c:pt>
                <c:pt idx="2">
                  <c:v>Groote Lucht</c:v>
                </c:pt>
                <c:pt idx="3">
                  <c:v>Harnaschpolder</c:v>
                </c:pt>
                <c:pt idx="4">
                  <c:v>Watersystemen</c:v>
                </c:pt>
                <c:pt idx="5">
                  <c:v>Facilitair</c:v>
                </c:pt>
                <c:pt idx="6">
                  <c:v>GR Slibverwerking 2009</c:v>
                </c:pt>
                <c:pt idx="7">
                  <c:v>GR RBG</c:v>
                </c:pt>
                <c:pt idx="8">
                  <c:v>GR AQUON</c:v>
                </c:pt>
                <c:pt idx="9">
                  <c:v>GR AquaMinerals</c:v>
                </c:pt>
              </c:strCache>
            </c:strRef>
          </c:cat>
          <c:val>
            <c:numRef>
              <c:f>Energiebeoordelingen!$Y$5:$Y$14</c:f>
              <c:numCache>
                <c:formatCode>#,##0</c:formatCode>
                <c:ptCount val="10"/>
                <c:pt idx="0">
                  <c:v>2245773</c:v>
                </c:pt>
                <c:pt idx="1">
                  <c:v>15271504</c:v>
                </c:pt>
                <c:pt idx="2">
                  <c:v>8695438</c:v>
                </c:pt>
                <c:pt idx="3">
                  <c:v>37075339</c:v>
                </c:pt>
                <c:pt idx="4">
                  <c:v>5441254</c:v>
                </c:pt>
                <c:pt idx="5">
                  <c:v>444195</c:v>
                </c:pt>
                <c:pt idx="6">
                  <c:v>2875000</c:v>
                </c:pt>
                <c:pt idx="7">
                  <c:v>72582.795999999988</c:v>
                </c:pt>
                <c:pt idx="8">
                  <c:v>143178.01199999999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2E-DF42-A8F3-29021FB1D624}"/>
            </c:ext>
          </c:extLst>
        </c:ser>
        <c:ser>
          <c:idx val="4"/>
          <c:order val="3"/>
          <c:tx>
            <c:strRef>
              <c:f>Energiebeoordelingen!$F$3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Energiebeoordelingen!$V$5:$V$14</c:f>
              <c:strCache>
                <c:ptCount val="10"/>
                <c:pt idx="0">
                  <c:v>Nieuwe Waterweg</c:v>
                </c:pt>
                <c:pt idx="1">
                  <c:v>Houtrust</c:v>
                </c:pt>
                <c:pt idx="2">
                  <c:v>Groote Lucht</c:v>
                </c:pt>
                <c:pt idx="3">
                  <c:v>Harnaschpolder</c:v>
                </c:pt>
                <c:pt idx="4">
                  <c:v>Watersystemen</c:v>
                </c:pt>
                <c:pt idx="5">
                  <c:v>Facilitair</c:v>
                </c:pt>
                <c:pt idx="6">
                  <c:v>GR Slibverwerking 2009</c:v>
                </c:pt>
                <c:pt idx="7">
                  <c:v>GR RBG</c:v>
                </c:pt>
                <c:pt idx="8">
                  <c:v>GR AQUON</c:v>
                </c:pt>
                <c:pt idx="9">
                  <c:v>GR AquaMinerals</c:v>
                </c:pt>
              </c:strCache>
            </c:strRef>
          </c:cat>
          <c:val>
            <c:numRef>
              <c:f>Energiebeoordelingen!$Z$5:$Z$14</c:f>
              <c:numCache>
                <c:formatCode>#,##0</c:formatCode>
                <c:ptCount val="10"/>
                <c:pt idx="0">
                  <c:v>2891445</c:v>
                </c:pt>
                <c:pt idx="1">
                  <c:v>16675596</c:v>
                </c:pt>
                <c:pt idx="2">
                  <c:v>8796775</c:v>
                </c:pt>
                <c:pt idx="3">
                  <c:v>36645467</c:v>
                </c:pt>
                <c:pt idx="4">
                  <c:v>5683008</c:v>
                </c:pt>
                <c:pt idx="5">
                  <c:v>423705</c:v>
                </c:pt>
                <c:pt idx="6">
                  <c:v>2934500</c:v>
                </c:pt>
                <c:pt idx="7">
                  <c:v>55475.295532799995</c:v>
                </c:pt>
                <c:pt idx="8">
                  <c:v>139328.19899999999</c:v>
                </c:pt>
                <c:pt idx="9">
                  <c:v>38297.734119187953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2E-DF42-A8F3-29021FB1D624}"/>
            </c:ext>
          </c:extLst>
        </c:ser>
        <c:ser>
          <c:idx val="0"/>
          <c:order val="4"/>
          <c:tx>
            <c:v>2023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Energiebeoordelingen!$AA$5:$AA$14</c:f>
              <c:numCache>
                <c:formatCode>#,##0</c:formatCode>
                <c:ptCount val="10"/>
                <c:pt idx="0">
                  <c:v>3136086</c:v>
                </c:pt>
                <c:pt idx="1">
                  <c:v>18130410</c:v>
                </c:pt>
                <c:pt idx="2">
                  <c:v>8921418</c:v>
                </c:pt>
                <c:pt idx="3">
                  <c:v>38713368</c:v>
                </c:pt>
                <c:pt idx="4">
                  <c:v>7364994</c:v>
                </c:pt>
                <c:pt idx="5">
                  <c:v>534024</c:v>
                </c:pt>
                <c:pt idx="6">
                  <c:v>2808500</c:v>
                </c:pt>
                <c:pt idx="7">
                  <c:v>74684.916445280542</c:v>
                </c:pt>
                <c:pt idx="8">
                  <c:v>144165.13500000001</c:v>
                </c:pt>
                <c:pt idx="9">
                  <c:v>2539.107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AD-4D66-84CE-974DB50BA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459464"/>
        <c:axId val="409460248"/>
      </c:barChart>
      <c:catAx>
        <c:axId val="40945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9460248"/>
        <c:crosses val="autoZero"/>
        <c:auto val="1"/>
        <c:lblAlgn val="ctr"/>
        <c:lblOffset val="100"/>
        <c:noMultiLvlLbl val="0"/>
      </c:catAx>
      <c:valAx>
        <c:axId val="40946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94594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43543</xdr:colOff>
      <xdr:row>34</xdr:row>
      <xdr:rowOff>136852</xdr:rowOff>
    </xdr:from>
    <xdr:ext cx="9783900" cy="4447309"/>
    <xdr:graphicFrame macro="">
      <xdr:nvGraphicFramePr>
        <xdr:cNvPr id="15" name="Chart 1">
          <a:extLst>
            <a:ext uri="{FF2B5EF4-FFF2-40B4-BE49-F238E27FC236}">
              <a16:creationId xmlns:a16="http://schemas.microsoft.com/office/drawing/2014/main" id="{2C09470E-A057-47DF-8967-436101FACB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0.86937</cdr:x>
      <cdr:y>0.06745</cdr:y>
    </cdr:from>
    <cdr:to>
      <cdr:x>0.99509</cdr:x>
      <cdr:y>0.14259</cdr:y>
    </cdr:to>
    <cdr:sp macro="" textlink="'CO2-emissie-inventaris'!$C$5">
      <cdr:nvSpPr>
        <cdr:cNvPr id="3" name="Tekstvak 2">
          <a:extLst xmlns:a="http://schemas.openxmlformats.org/drawingml/2006/main">
            <a:ext uri="{FF2B5EF4-FFF2-40B4-BE49-F238E27FC236}">
              <a16:creationId xmlns:a16="http://schemas.microsoft.com/office/drawing/2014/main" id="{2EADC1B6-CE5A-42DA-AD81-4025BB93705B}"/>
            </a:ext>
          </a:extLst>
        </cdr:cNvPr>
        <cdr:cNvSpPr txBox="1"/>
      </cdr:nvSpPr>
      <cdr:spPr>
        <a:xfrm xmlns:a="http://schemas.openxmlformats.org/drawingml/2006/main">
          <a:off x="8505860" y="299968"/>
          <a:ext cx="1230031" cy="3341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fld id="{A8917775-9A62-42BC-B565-84A0CDFB63E8}" type="TxLink">
            <a:rPr lang="en-US" sz="1800" b="1" i="0" u="none" strike="noStrike">
              <a:solidFill>
                <a:srgbClr val="7F7F7F"/>
              </a:solidFill>
              <a:latin typeface="Verdana"/>
              <a:ea typeface="Verdana"/>
            </a:rPr>
            <a:pPr algn="r"/>
            <a:t>2023</a:t>
          </a:fld>
          <a:endParaRPr lang="nl-NL" sz="1800" b="1">
            <a:solidFill>
              <a:srgbClr val="7F7F7F"/>
            </a:solidFill>
          </a:endParaRPr>
        </a:p>
      </cdr:txBody>
    </cdr:sp>
  </cdr:relSizeAnchor>
  <cdr:relSizeAnchor xmlns:cdr="http://schemas.openxmlformats.org/drawingml/2006/chartDrawing">
    <cdr:from>
      <cdr:x>0.84667</cdr:x>
      <cdr:y>0.13348</cdr:y>
    </cdr:from>
    <cdr:to>
      <cdr:x>0.99513</cdr:x>
      <cdr:y>0.19881</cdr:y>
    </cdr:to>
    <cdr:sp macro="" textlink="'CO2-emissie-inventaris'!$C$6">
      <cdr:nvSpPr>
        <cdr:cNvPr id="4" name="Tekstvak 3">
          <a:extLst xmlns:a="http://schemas.openxmlformats.org/drawingml/2006/main">
            <a:ext uri="{FF2B5EF4-FFF2-40B4-BE49-F238E27FC236}">
              <a16:creationId xmlns:a16="http://schemas.microsoft.com/office/drawing/2014/main" id="{93913480-D07A-4817-A513-CEBB56BF9471}"/>
            </a:ext>
          </a:extLst>
        </cdr:cNvPr>
        <cdr:cNvSpPr txBox="1"/>
      </cdr:nvSpPr>
      <cdr:spPr>
        <a:xfrm xmlns:a="http://schemas.openxmlformats.org/drawingml/2006/main">
          <a:off x="8283735" y="593649"/>
          <a:ext cx="1452517" cy="2905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fld id="{93E95348-7AA1-45D8-9094-A2781E91281B}" type="TxLink">
            <a:rPr lang="en-US" sz="1400" b="1" i="0" u="none" strike="noStrike">
              <a:solidFill>
                <a:srgbClr val="7F7F7F"/>
              </a:solidFill>
              <a:latin typeface="Verdana"/>
              <a:ea typeface="Verdana"/>
            </a:rPr>
            <a:pPr algn="r"/>
            <a:t>Heel jaar</a:t>
          </a:fld>
          <a:endParaRPr lang="nl-NL" sz="2000" b="1">
            <a:solidFill>
              <a:srgbClr val="7F7F7F"/>
            </a:solidFill>
          </a:endParaRPr>
        </a:p>
      </cdr:txBody>
    </cdr:sp>
  </cdr:relSizeAnchor>
  <cdr:relSizeAnchor xmlns:cdr="http://schemas.openxmlformats.org/drawingml/2006/chartDrawing">
    <cdr:from>
      <cdr:x>0.6724</cdr:x>
      <cdr:y>0.00337</cdr:y>
    </cdr:from>
    <cdr:to>
      <cdr:x>0.99611</cdr:x>
      <cdr:y>0.08904</cdr:y>
    </cdr:to>
    <cdr:sp macro="" textlink="'CO2-emissie-inventaris'!#REF!">
      <cdr:nvSpPr>
        <cdr:cNvPr id="2" name="Tekstvak 1">
          <a:extLst xmlns:a="http://schemas.openxmlformats.org/drawingml/2006/main">
            <a:ext uri="{FF2B5EF4-FFF2-40B4-BE49-F238E27FC236}">
              <a16:creationId xmlns:a16="http://schemas.microsoft.com/office/drawing/2014/main" id="{224DBEFA-63D6-42FE-ACC1-C463276D1E2D}"/>
            </a:ext>
          </a:extLst>
        </cdr:cNvPr>
        <cdr:cNvSpPr txBox="1"/>
      </cdr:nvSpPr>
      <cdr:spPr>
        <a:xfrm xmlns:a="http://schemas.openxmlformats.org/drawingml/2006/main">
          <a:off x="6578737" y="15006"/>
          <a:ext cx="3167063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fld id="{04862CE4-D16A-47FB-81F8-7B5855312B23}" type="TxLink">
            <a:rPr lang="en-US" sz="1800" b="1" i="0" u="none" strike="noStrike">
              <a:solidFill>
                <a:srgbClr val="7F7F7F"/>
              </a:solidFill>
              <a:latin typeface="Verdana" panose="020B0604030504040204" pitchFamily="34" charset="0"/>
              <a:ea typeface="Verdana" panose="020B0604030504040204" pitchFamily="34" charset="0"/>
            </a:rPr>
            <a:pPr algn="r"/>
            <a:t> </a:t>
          </a:fld>
          <a:endParaRPr lang="nl-NL" sz="1800" b="1">
            <a:solidFill>
              <a:srgbClr val="7F7F7F"/>
            </a:solidFill>
            <a:latin typeface="Verdana" panose="020B0604030504040204" pitchFamily="34" charset="0"/>
            <a:ea typeface="Verdana" panose="020B060403050404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371476</xdr:colOff>
      <xdr:row>26</xdr:row>
      <xdr:rowOff>35321</xdr:rowOff>
    </xdr:from>
    <xdr:to>
      <xdr:col>16</xdr:col>
      <xdr:colOff>63500</xdr:colOff>
      <xdr:row>40</xdr:row>
      <xdr:rowOff>95250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99AB1DE5-3C92-4963-BA0A-ED1F74E71E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751115</xdr:colOff>
      <xdr:row>17</xdr:row>
      <xdr:rowOff>43542</xdr:rowOff>
    </xdr:from>
    <xdr:to>
      <xdr:col>3</xdr:col>
      <xdr:colOff>947057</xdr:colOff>
      <xdr:row>29</xdr:row>
      <xdr:rowOff>152400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2544D4EC-B034-0479-2C51-16028CE24B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392027</xdr:colOff>
      <xdr:row>1</xdr:row>
      <xdr:rowOff>98674</xdr:rowOff>
    </xdr:from>
    <xdr:to>
      <xdr:col>21</xdr:col>
      <xdr:colOff>17090</xdr:colOff>
      <xdr:row>20</xdr:row>
      <xdr:rowOff>112295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FC1E4969-6FEB-4536-A632-6E9262FCC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164306</xdr:colOff>
      <xdr:row>21</xdr:row>
      <xdr:rowOff>72231</xdr:rowOff>
    </xdr:from>
    <xdr:to>
      <xdr:col>20</xdr:col>
      <xdr:colOff>449518</xdr:colOff>
      <xdr:row>39</xdr:row>
      <xdr:rowOff>88900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75017E6C-7709-47F4-AE96-E7F11E1A3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620712</xdr:colOff>
      <xdr:row>17</xdr:row>
      <xdr:rowOff>35719</xdr:rowOff>
    </xdr:from>
    <xdr:to>
      <xdr:col>40</xdr:col>
      <xdr:colOff>253822</xdr:colOff>
      <xdr:row>33</xdr:row>
      <xdr:rowOff>114300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D62EE62A-CCA5-45C4-87C1-AAE21D5D01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238709</xdr:colOff>
      <xdr:row>0</xdr:row>
      <xdr:rowOff>0</xdr:rowOff>
    </xdr:from>
    <xdr:to>
      <xdr:col>40</xdr:col>
      <xdr:colOff>526846</xdr:colOff>
      <xdr:row>16</xdr:row>
      <xdr:rowOff>163846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id="{36FDC2F5-9C2F-DF4B-8265-43C45A742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uus de Jong" id="{A1CC6322-1235-451B-B9A5-0EEB04ACB690}" userId="S::guus@deduurzameadviseurs.nl::8f6fcf14-b411-4f32-bd15-7639cce36816" providerId="AD"/>
  <person displayName="Marcella Mekenkamp" id="{E98DA417-D2D4-4BD2-B1E8-17C060B64A8D}" userId="S::marcella@deduurzameadviseurs.nl::ef751f01-daf1-47f8-9287-7b9fd2f15fdd" providerId="AD"/>
</personList>
</file>

<file path=xl/theme/theme1.xml><?xml version="1.0" encoding="utf-8"?>
<a:theme xmlns:a="http://schemas.openxmlformats.org/drawingml/2006/main" name="Sheets">
  <a:themeElements>
    <a:clrScheme name="De Duurzame Adviseurs">
      <a:dk1>
        <a:sysClr val="windowText" lastClr="000000"/>
      </a:dk1>
      <a:lt1>
        <a:sysClr val="window" lastClr="FFFFFF"/>
      </a:lt1>
      <a:dk2>
        <a:srgbClr val="267E29"/>
      </a:dk2>
      <a:lt2>
        <a:srgbClr val="F2F2F2"/>
      </a:lt2>
      <a:accent1>
        <a:srgbClr val="D99694"/>
      </a:accent1>
      <a:accent2>
        <a:srgbClr val="6ABD92"/>
      </a:accent2>
      <a:accent3>
        <a:srgbClr val="4BACC6"/>
      </a:accent3>
      <a:accent4>
        <a:srgbClr val="FAC08F"/>
      </a:accent4>
      <a:accent5>
        <a:srgbClr val="C3D69B"/>
      </a:accent5>
      <a:accent6>
        <a:srgbClr val="95B3D7"/>
      </a:accent6>
      <a:hlink>
        <a:srgbClr val="0000FF"/>
      </a:hlink>
      <a:folHlink>
        <a:srgbClr val="800080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37" dT="2024-05-06T13:02:55.08" personId="{E98DA417-D2D4-4BD2-B1E8-17C060B64A8D}" id="{71FF765D-1B0D-4DF3-BD05-3BF9F8827733}">
    <text>22.147 is zelf opgewekte duurzame elektra Zonne-energie 29.598 kolom M rij 25 – teruglevering elektra 7.451 kolom M rij 28 komt op die 22.147</text>
  </threadedComment>
  <threadedComment ref="H155" dT="2024-05-08T12:09:04.24" personId="{E98DA417-D2D4-4BD2-B1E8-17C060B64A8D}" id="{CB2FF28F-2F6E-4843-B2AC-92191A8D84C9}">
    <text>Met terugwerkende kracht aangepast, lijkt een fout te zijn geweest in 2022. Er stond eerst 281.120 km. Dit kan echter niet teruggevonden worden in de bronbestanden</text>
  </threadedComment>
  <threadedComment ref="H185" dT="2024-05-06T13:03:38.30" personId="{E98DA417-D2D4-4BD2-B1E8-17C060B64A8D}" id="{7E2A75E2-0B1D-47D7-BA7A-F25B21B42A62}">
    <text xml:space="preserve">= 33.235- 4.343
</text>
  </threadedComment>
  <threadedComment ref="H185" dT="2024-05-06T13:04:33.70" personId="{E98DA417-D2D4-4BD2-B1E8-17C060B64A8D}" id="{F7598ABF-FFC5-49AF-9AB0-137092451CAC}" parentId="{7E2A75E2-0B1D-47D7-BA7A-F25B21B42A62}">
    <text>Opwek - teruglevering</text>
  </threadedComment>
  <threadedComment ref="P186" dT="2024-05-03T13:07:21.54" personId="{E98DA417-D2D4-4BD2-B1E8-17C060B64A8D}" id="{E7FC4CD7-B562-4893-A316-944E88AD5D93}">
    <text>Heet overig in bronbestand</text>
  </threadedComment>
  <threadedComment ref="H187" dT="2024-05-06T13:05:03.62" personId="{E98DA417-D2D4-4BD2-B1E8-17C060B64A8D}" id="{87886D7F-E6D9-4AD6-99FB-2117E2EBC4C2}">
    <text xml:space="preserve">Gasverbruik dienstwoningen zit bij facilitair, gasketels gemalen zijn vervangen in watersysteem, dus 0 klopt.
</text>
  </threadedComment>
  <threadedComment ref="H195" dT="2024-05-06T13:06:05.90" personId="{E98DA417-D2D4-4BD2-B1E8-17C060B64A8D}" id="{E6DF742D-DD20-4D3C-A59C-6AFDD2F952F6}">
    <text>Er is geen sliblijn meer bij AWZI NWA, dus klopt geen biogas meer!</text>
  </threadedComment>
  <threadedComment ref="H217" dT="2024-05-08T12:04:12.18" personId="{E98DA417-D2D4-4BD2-B1E8-17C060B64A8D}" id="{7B7140F8-E181-41C3-98BA-2875A6DAA9D2}">
    <text>Declaratie bedrag aangepast naar nieuwe markt normen: https://www.ondernemenmetpersoneel.nl/orienteren/personeelskosten/reiskostenvergoeding-2023</text>
    <extLst>
      <x:ext xmlns:xltc2="http://schemas.microsoft.com/office/spreadsheetml/2020/threadedcomments2" uri="{F7C98A9C-CBB3-438F-8F68-D28B6AF4A901}">
        <xltc2:checksum>3761911805</xltc2:checksum>
        <xltc2:hyperlink startIndex="54" length="91" url="https://www.ondernemenmetpersoneel.nl/orienteren/personeelskosten/reiskostenvergoeding-2023"/>
      </x:ext>
    </extLst>
  </threadedComment>
  <threadedComment ref="H225" dT="2024-06-10T10:52:10.31" personId="{A1CC6322-1235-451B-B9A5-0EEB04ACB690}" id="{8D16BC1A-1878-4A14-9D12-C8DE69C2891B}">
    <text xml:space="preserve">Kosten per km is 0,14 euro. 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44"/>
  <sheetViews>
    <sheetView showGridLines="0" zoomScale="70" zoomScaleNormal="70" workbookViewId="0">
      <selection activeCell="F30" sqref="F30"/>
    </sheetView>
  </sheetViews>
  <sheetFormatPr defaultColWidth="0" defaultRowHeight="15" customHeight="1" x14ac:dyDescent="0.3"/>
  <cols>
    <col min="1" max="1" width="3.8984375" style="20" customWidth="1"/>
    <col min="2" max="2" width="58.09765625" style="20" customWidth="1"/>
    <col min="3" max="3" width="35.5" style="20" customWidth="1"/>
    <col min="4" max="4" width="10" style="20" bestFit="1" customWidth="1"/>
    <col min="5" max="5" width="31.59765625" style="20" customWidth="1"/>
    <col min="6" max="6" width="14.3984375" style="20" customWidth="1"/>
    <col min="7" max="7" width="8.5" style="26" customWidth="1"/>
    <col min="8" max="8" width="3.69921875" style="2" customWidth="1"/>
    <col min="9" max="9" width="50.3984375" style="20" bestFit="1" customWidth="1"/>
    <col min="10" max="10" width="26" style="20" customWidth="1"/>
    <col min="11" max="11" width="10" style="20" bestFit="1" customWidth="1"/>
    <col min="12" max="12" width="26" style="20" bestFit="1" customWidth="1"/>
    <col min="13" max="13" width="13.5" style="20" customWidth="1"/>
    <col min="14" max="14" width="8.5" style="20" customWidth="1"/>
    <col min="15" max="31" width="11.3984375" style="20" customWidth="1"/>
    <col min="32" max="33" width="11.3984375" style="2" customWidth="1"/>
    <col min="34" max="52" width="0" style="2" hidden="1" customWidth="1"/>
    <col min="53" max="71" width="0" style="20" hidden="1" customWidth="1"/>
    <col min="72" max="16384" width="12.5" style="20" hidden="1"/>
  </cols>
  <sheetData>
    <row r="1" spans="2:14" ht="15.75" customHeight="1" x14ac:dyDescent="0.3">
      <c r="B1" s="1"/>
      <c r="C1" s="1"/>
      <c r="D1" s="1"/>
      <c r="E1" s="1"/>
      <c r="F1" s="1"/>
      <c r="G1" s="25"/>
      <c r="I1" s="2"/>
      <c r="J1" s="2"/>
      <c r="K1" s="1"/>
      <c r="L1" s="1"/>
      <c r="M1" s="1"/>
      <c r="N1" s="1"/>
    </row>
    <row r="2" spans="2:14" ht="18" customHeight="1" thickBot="1" x14ac:dyDescent="0.35">
      <c r="B2" s="10" t="s">
        <v>0</v>
      </c>
      <c r="C2" s="3" t="s">
        <v>1</v>
      </c>
      <c r="D2" s="1"/>
      <c r="E2" s="1"/>
      <c r="F2" s="1"/>
      <c r="G2" s="25"/>
      <c r="I2" s="2"/>
      <c r="J2" s="2"/>
      <c r="K2" s="1"/>
      <c r="L2" s="1"/>
      <c r="M2" s="3"/>
      <c r="N2" s="198"/>
    </row>
    <row r="3" spans="2:14" ht="20.399999999999999" customHeight="1" thickTop="1" thickBot="1" x14ac:dyDescent="0.45">
      <c r="B3" s="334" t="s">
        <v>2</v>
      </c>
      <c r="C3" s="335"/>
      <c r="D3" s="2"/>
      <c r="E3" s="2"/>
      <c r="F3" s="2"/>
      <c r="G3" s="24"/>
      <c r="I3" s="332" t="s">
        <v>3</v>
      </c>
      <c r="J3" s="333"/>
      <c r="K3" s="1"/>
      <c r="M3" s="1"/>
      <c r="N3" s="2"/>
    </row>
    <row r="4" spans="2:14" ht="15.75" customHeight="1" thickTop="1" thickBot="1" x14ac:dyDescent="0.35">
      <c r="B4" s="33" t="s">
        <v>4</v>
      </c>
      <c r="C4" s="34" t="s">
        <v>5</v>
      </c>
      <c r="D4" s="2"/>
      <c r="E4" s="2"/>
      <c r="F4" s="2"/>
      <c r="G4" s="24"/>
      <c r="I4" s="33" t="s">
        <v>4</v>
      </c>
      <c r="J4" s="34" t="s">
        <v>5</v>
      </c>
      <c r="K4" s="1"/>
      <c r="L4" s="1"/>
      <c r="M4" s="1"/>
      <c r="N4" s="2"/>
    </row>
    <row r="5" spans="2:14" ht="15.75" customHeight="1" thickTop="1" thickBot="1" x14ac:dyDescent="0.35">
      <c r="B5" s="29" t="s">
        <v>6</v>
      </c>
      <c r="C5" s="116">
        <v>2023</v>
      </c>
      <c r="D5" s="2"/>
      <c r="E5" s="2"/>
      <c r="F5" s="2"/>
      <c r="G5" s="24"/>
      <c r="I5" s="27" t="s">
        <v>7</v>
      </c>
      <c r="J5" s="28" t="s">
        <v>8</v>
      </c>
      <c r="K5" s="1"/>
      <c r="L5" s="1"/>
      <c r="M5" s="1"/>
      <c r="N5" s="2"/>
    </row>
    <row r="6" spans="2:14" ht="15.75" customHeight="1" thickBot="1" x14ac:dyDescent="0.35">
      <c r="B6" s="31" t="s">
        <v>9</v>
      </c>
      <c r="C6" s="32" t="s">
        <v>10</v>
      </c>
      <c r="D6" s="2"/>
      <c r="E6" s="2"/>
      <c r="F6" s="2"/>
      <c r="G6" s="24"/>
      <c r="I6" s="29" t="s">
        <v>6</v>
      </c>
      <c r="J6" s="30">
        <v>2023</v>
      </c>
      <c r="K6" s="1"/>
      <c r="L6" s="1"/>
      <c r="M6" s="1"/>
      <c r="N6" s="2"/>
    </row>
    <row r="7" spans="2:14" ht="15.75" customHeight="1" thickTop="1" thickBot="1" x14ac:dyDescent="0.35">
      <c r="B7" s="2"/>
      <c r="C7" s="2"/>
      <c r="D7" s="2"/>
      <c r="E7" s="2"/>
      <c r="F7" s="2"/>
      <c r="G7" s="24"/>
      <c r="I7" s="35" t="s">
        <v>9</v>
      </c>
      <c r="J7" s="36" t="s">
        <v>10</v>
      </c>
      <c r="K7" s="1"/>
      <c r="L7" s="1"/>
      <c r="M7" s="1"/>
      <c r="N7" s="2"/>
    </row>
    <row r="8" spans="2:14" ht="15.75" customHeight="1" thickTop="1" x14ac:dyDescent="0.3">
      <c r="B8" s="2"/>
      <c r="C8" s="2"/>
      <c r="D8" s="2"/>
      <c r="E8" s="2"/>
      <c r="F8" s="2"/>
      <c r="G8" s="24"/>
      <c r="I8" s="1"/>
      <c r="J8" s="1"/>
      <c r="K8" s="1"/>
      <c r="L8" s="1"/>
      <c r="M8" s="1"/>
      <c r="N8" s="2"/>
    </row>
    <row r="9" spans="2:14" ht="15.75" customHeight="1" thickBot="1" x14ac:dyDescent="0.35">
      <c r="B9" s="2"/>
      <c r="C9" s="2"/>
      <c r="D9" s="2"/>
      <c r="E9" s="2"/>
      <c r="F9" s="2"/>
      <c r="G9" s="24"/>
      <c r="I9" s="1"/>
      <c r="J9" s="1"/>
      <c r="K9" s="1"/>
      <c r="L9" s="1"/>
      <c r="M9" s="1"/>
      <c r="N9" s="2"/>
    </row>
    <row r="10" spans="2:14" ht="33.75" customHeight="1" thickTop="1" thickBot="1" x14ac:dyDescent="0.35">
      <c r="B10" s="336" t="s">
        <v>11</v>
      </c>
      <c r="C10" s="337"/>
      <c r="D10" s="219"/>
      <c r="E10" s="219">
        <f>C5</f>
        <v>2023</v>
      </c>
      <c r="F10" s="220" t="str">
        <f>C6</f>
        <v>Heel jaar</v>
      </c>
      <c r="G10" s="24"/>
      <c r="I10" s="336" t="s">
        <v>12</v>
      </c>
      <c r="J10" s="337"/>
      <c r="K10" s="219"/>
      <c r="L10" s="219">
        <f>J6</f>
        <v>2023</v>
      </c>
      <c r="M10" s="220" t="str">
        <f>J7</f>
        <v>Heel jaar</v>
      </c>
      <c r="N10" s="2"/>
    </row>
    <row r="11" spans="2:14" ht="36" customHeight="1" thickTop="1" thickBot="1" x14ac:dyDescent="0.35">
      <c r="B11" s="46" t="s">
        <v>13</v>
      </c>
      <c r="C11" s="44" t="s">
        <v>14</v>
      </c>
      <c r="D11" s="44" t="s">
        <v>15</v>
      </c>
      <c r="E11" s="45" t="s">
        <v>16</v>
      </c>
      <c r="F11" s="47" t="s">
        <v>17</v>
      </c>
      <c r="G11" s="24"/>
      <c r="I11" s="46" t="s">
        <v>13</v>
      </c>
      <c r="J11" s="44" t="s">
        <v>14</v>
      </c>
      <c r="K11" s="44" t="s">
        <v>15</v>
      </c>
      <c r="L11" s="45" t="s">
        <v>16</v>
      </c>
      <c r="M11" s="47" t="s">
        <v>17</v>
      </c>
      <c r="N11" s="2"/>
    </row>
    <row r="12" spans="2:14" ht="15.75" customHeight="1" thickTop="1" thickBot="1" x14ac:dyDescent="0.35">
      <c r="B12" s="39" t="s">
        <v>18</v>
      </c>
      <c r="C12" s="40">
        <f>SUMIFS(Data!$I:$I,Data!$G:$G,B12,Data!$D:$D,$C$5,Data!$E:$E,$C$6)</f>
        <v>1069605.3155311565</v>
      </c>
      <c r="D12" s="50" t="s">
        <v>19</v>
      </c>
      <c r="E12" s="41">
        <f>SUMIFS('Input keuzevariabelen'!$I:$I,'Input keuzevariabelen'!$F:$F,'CO2-emissie-inventaris'!B12,'Input keuzevariabelen'!$K:$K,'CO2-emissie-inventaris'!$E$10)</f>
        <v>2079</v>
      </c>
      <c r="F12" s="42">
        <f>SUMIFS(Data!$M:$M,Data!$G:$G,B12,Data!$D:$D,$C$5,Data!$E:$E,$C$6)</f>
        <v>2223.709450989275</v>
      </c>
      <c r="G12" s="111">
        <f>F12/$F$30</f>
        <v>0.8488841685307118</v>
      </c>
      <c r="I12" s="39" t="s">
        <v>18</v>
      </c>
      <c r="J12" s="49">
        <f>SUMIFS(Data!$I:$I,Data!$G:$G,I12,Data!$D:$D,$J$6,Data!$B:$B,$J$5,Data!$E:$E,$J$7)</f>
        <v>1007664</v>
      </c>
      <c r="K12" s="50" t="s">
        <v>19</v>
      </c>
      <c r="L12" s="41">
        <f>SUMIFS('Input keuzevariabelen'!$I:$I,'Input keuzevariabelen'!$F:$F,'CO2-emissie-inventaris'!I12,'Input keuzevariabelen'!$K:$K,'CO2-emissie-inventaris'!$E$10)</f>
        <v>2079</v>
      </c>
      <c r="M12" s="51">
        <f>SUMIFS(Data!$M:$M,Data!$G:$G,I12,Data!$D:$D,$J$6,Data!$B:$B,$J$5,Data!$E:$E,$J$7)</f>
        <v>2094.9334560000002</v>
      </c>
      <c r="N12" s="54">
        <f>M12/$M$30</f>
        <v>0.87492373372269894</v>
      </c>
    </row>
    <row r="13" spans="2:14" ht="15.75" customHeight="1" thickTop="1" thickBot="1" x14ac:dyDescent="0.35">
      <c r="B13" s="215" t="s">
        <v>20</v>
      </c>
      <c r="C13" s="40">
        <f>SUMIFS(Data!$I:$I,Data!$G:$G,B13,Data!$D:$D,$C$5,Data!$E:$E,$C$6)</f>
        <v>41059.025000000001</v>
      </c>
      <c r="D13" s="41" t="s">
        <v>21</v>
      </c>
      <c r="E13" s="41">
        <f>SUMIFS('Input keuzevariabelen'!$I:$I,'Input keuzevariabelen'!$F:$F,'CO2-emissie-inventaris'!B13,'Input keuzevariabelen'!$K:$K,'CO2-emissie-inventaris'!$E$10)</f>
        <v>3256</v>
      </c>
      <c r="F13" s="42">
        <f>SUMIFS(Data!$M:$M,Data!$G:$G,B13,Data!$D:$D,$C$5,Data!$E:$E,$C$6)</f>
        <v>133.68818540000001</v>
      </c>
      <c r="G13" s="111">
        <f>F13/$F$30</f>
        <v>5.1034447892988694E-2</v>
      </c>
      <c r="I13" s="215" t="s">
        <v>20</v>
      </c>
      <c r="J13" s="49">
        <f>SUMIFS(Data!$I:$I,Data!$G:$G,I13,Data!$D:$D,$J$6,Data!$B:$B,$J$5,Data!$E:$E,$J$7)</f>
        <v>26539</v>
      </c>
      <c r="K13" s="41" t="s">
        <v>21</v>
      </c>
      <c r="L13" s="41">
        <f>SUMIFS('Input keuzevariabelen'!$I:$I,'Input keuzevariabelen'!$F:$F,'CO2-emissie-inventaris'!I13,'Input keuzevariabelen'!$K:$K,'CO2-emissie-inventaris'!$E$10)</f>
        <v>3256</v>
      </c>
      <c r="M13" s="51">
        <f>SUMIFS(Data!$M:$M,Data!$G:$G,I13,Data!$D:$D,$J$6,Data!$B:$B,$J$5,Data!$E:$E,$J$7)</f>
        <v>86.410983999999999</v>
      </c>
      <c r="N13" s="54">
        <f>M13/$M$30</f>
        <v>3.6088507030808709E-2</v>
      </c>
    </row>
    <row r="14" spans="2:14" ht="15.75" customHeight="1" thickTop="1" thickBot="1" x14ac:dyDescent="0.35">
      <c r="B14" s="215" t="s">
        <v>22</v>
      </c>
      <c r="C14" s="40">
        <f>SUMIFS(Data!$I:$I,Data!$G:$G,B14,Data!$D:$D,$C$5,Data!$E:$E,$C$6)</f>
        <v>36930.339</v>
      </c>
      <c r="D14" s="41" t="s">
        <v>21</v>
      </c>
      <c r="E14" s="41">
        <f>SUMIFS('Input keuzevariabelen'!$I:$I,'Input keuzevariabelen'!$F:$F,'CO2-emissie-inventaris'!B14,'Input keuzevariabelen'!$K:$K,'CO2-emissie-inventaris'!$E$10)</f>
        <v>2821</v>
      </c>
      <c r="F14" s="42">
        <f>SUMIFS(Data!$M:$M,Data!$G:$G,B14,Data!$D:$D,$C$5,Data!$E:$E,$C$6)</f>
        <v>104.18048631900001</v>
      </c>
      <c r="G14" s="111">
        <f>F14/$F$30</f>
        <v>3.9770108215660079E-2</v>
      </c>
      <c r="I14" s="215" t="s">
        <v>22</v>
      </c>
      <c r="J14" s="49">
        <f>SUMIFS(Data!$I:$I,Data!$G:$G,I14,Data!$D:$D,$J$6,Data!$B:$B,$J$5,Data!$E:$E,$J$7)</f>
        <v>36329</v>
      </c>
      <c r="K14" s="41" t="s">
        <v>21</v>
      </c>
      <c r="L14" s="41">
        <f>SUMIFS('Input keuzevariabelen'!$I:$I,'Input keuzevariabelen'!$F:$F,'CO2-emissie-inventaris'!I14,'Input keuzevariabelen'!$K:$K,'CO2-emissie-inventaris'!$E$10)</f>
        <v>2821</v>
      </c>
      <c r="M14" s="51">
        <f>SUMIFS(Data!$M:$M,Data!$G:$G,I14,Data!$D:$D,$J$6,Data!$B:$B,$J$5,Data!$E:$E,$J$7)</f>
        <v>102.484109</v>
      </c>
      <c r="N14" s="54">
        <f>M14/$M$30</f>
        <v>4.2801254157604163E-2</v>
      </c>
    </row>
    <row r="15" spans="2:14" ht="15.75" customHeight="1" thickTop="1" thickBot="1" x14ac:dyDescent="0.35">
      <c r="B15" s="2"/>
      <c r="C15" s="2"/>
      <c r="D15" s="2"/>
      <c r="E15" s="37" t="s">
        <v>23</v>
      </c>
      <c r="F15" s="38">
        <f>SUM(F12:F14)</f>
        <v>2461.5781227082748</v>
      </c>
      <c r="G15" s="113"/>
      <c r="I15" s="2"/>
      <c r="J15" s="2"/>
      <c r="K15" s="2"/>
      <c r="L15" s="37" t="s">
        <v>23</v>
      </c>
      <c r="M15" s="38">
        <f>SUM(M12:M14)</f>
        <v>2283.8285490000003</v>
      </c>
      <c r="N15" s="24"/>
    </row>
    <row r="16" spans="2:14" ht="15.75" customHeight="1" thickTop="1" thickBot="1" x14ac:dyDescent="0.35">
      <c r="B16" s="1"/>
      <c r="C16" s="1"/>
      <c r="D16" s="1"/>
      <c r="E16" s="10"/>
      <c r="F16" s="7"/>
      <c r="G16" s="113"/>
      <c r="I16" s="1"/>
      <c r="J16" s="1"/>
      <c r="K16" s="1"/>
      <c r="L16" s="10"/>
      <c r="M16" s="7"/>
      <c r="N16" s="24"/>
    </row>
    <row r="17" spans="2:14" ht="36" customHeight="1" thickTop="1" thickBot="1" x14ac:dyDescent="0.35">
      <c r="B17" s="46" t="s">
        <v>24</v>
      </c>
      <c r="C17" s="44" t="s">
        <v>14</v>
      </c>
      <c r="D17" s="44" t="s">
        <v>15</v>
      </c>
      <c r="E17" s="45" t="s">
        <v>16</v>
      </c>
      <c r="F17" s="47" t="s">
        <v>17</v>
      </c>
      <c r="G17" s="113"/>
      <c r="I17" s="46" t="s">
        <v>24</v>
      </c>
      <c r="J17" s="44" t="s">
        <v>14</v>
      </c>
      <c r="K17" s="44" t="s">
        <v>15</v>
      </c>
      <c r="L17" s="45" t="s">
        <v>16</v>
      </c>
      <c r="M17" s="47" t="s">
        <v>17</v>
      </c>
      <c r="N17" s="24"/>
    </row>
    <row r="18" spans="2:14" ht="15.75" customHeight="1" thickTop="1" thickBot="1" x14ac:dyDescent="0.35">
      <c r="B18" s="56" t="s">
        <v>25</v>
      </c>
      <c r="C18" s="40">
        <f>SUMIFS(Data!$I:$I,Data!$G:$G,B18,Data!$D:$D,$C$5,Data!$E:$E,$C$6)</f>
        <v>74684.916445280542</v>
      </c>
      <c r="D18" s="43" t="s">
        <v>26</v>
      </c>
      <c r="E18" s="41">
        <f>SUMIFS('Input keuzevariabelen'!$I:$I,'Input keuzevariabelen'!$F:$F,'CO2-emissie-inventaris'!B18,'Input keuzevariabelen'!$K:$K,'CO2-emissie-inventaris'!$E$10)</f>
        <v>456</v>
      </c>
      <c r="F18" s="42">
        <f>SUMIFS(Data!$M:$M,Data!$G:$G,B18,Data!$D:$D,$C$5,Data!$E:$E,$C$6)</f>
        <v>34.056321899047923</v>
      </c>
      <c r="G18" s="112">
        <f>F18/$F$30</f>
        <v>1.3000741839553841E-2</v>
      </c>
      <c r="I18" s="56" t="s">
        <v>25</v>
      </c>
      <c r="J18" s="49">
        <f>SUMIFS(Data!$I:$I,Data!$G:$G,I18,Data!$D:$D,$J$6,Data!$B:$B,$J$5,Data!$E:$E,$J$7)</f>
        <v>0</v>
      </c>
      <c r="K18" s="53" t="s">
        <v>26</v>
      </c>
      <c r="L18" s="41">
        <f>SUMIFS('Input keuzevariabelen'!$I:$I,'Input keuzevariabelen'!$F:$F,'CO2-emissie-inventaris'!I18,'Input keuzevariabelen'!$K:$K,'CO2-emissie-inventaris'!$E$10)</f>
        <v>456</v>
      </c>
      <c r="M18" s="51">
        <f>SUMIFS(Data!$M:$M,Data!$G:$G,I18,Data!$D:$D,$J$6,Data!$B:$B,$J$5,Data!$E:$E,$J$7)</f>
        <v>0</v>
      </c>
      <c r="N18" s="55">
        <f>M18/$M$30</f>
        <v>0</v>
      </c>
    </row>
    <row r="19" spans="2:14" ht="15.75" customHeight="1" thickTop="1" thickBot="1" x14ac:dyDescent="0.35">
      <c r="B19" s="216" t="s">
        <v>27</v>
      </c>
      <c r="C19" s="40">
        <f>SUMIFS(Data!$I:$I,Data!$G:$G,B19,Data!$D:$D,$C$5,Data!$E:$E,$C$6)</f>
        <v>79755504.241999999</v>
      </c>
      <c r="D19" s="43" t="s">
        <v>26</v>
      </c>
      <c r="E19" s="41">
        <f>SUMIFS('Input keuzevariabelen'!$I:$I,'Input keuzevariabelen'!$F:$F,'CO2-emissie-inventaris'!B19,'Input keuzevariabelen'!$K:$K,'CO2-emissie-inventaris'!$E$10)</f>
        <v>0</v>
      </c>
      <c r="F19" s="42">
        <f>SUMIFS(Data!$M:$M,Data!$G:$G,B19,Data!$D:$D,$C$5,Data!$E:$E,$C$6)</f>
        <v>0</v>
      </c>
      <c r="G19" s="112">
        <f>F19/$F$30</f>
        <v>0</v>
      </c>
      <c r="H19" s="192"/>
      <c r="I19" s="216" t="s">
        <v>27</v>
      </c>
      <c r="J19" s="49">
        <f>SUMIFS(Data!$I:$I,Data!$G:$G,I19,Data!$D:$D,$J$6,Data!$B:$B,$J$5,Data!$E:$E,$J$7)</f>
        <v>76800300</v>
      </c>
      <c r="K19" s="53" t="s">
        <v>26</v>
      </c>
      <c r="L19" s="41">
        <f>SUMIFS('Input keuzevariabelen'!$I:$I,'Input keuzevariabelen'!$F:$F,'CO2-emissie-inventaris'!I19,'Input keuzevariabelen'!$K:$K,'CO2-emissie-inventaris'!$E$10)</f>
        <v>0</v>
      </c>
      <c r="M19" s="51">
        <f>SUMIFS(Data!$M:$M,Data!$G:$G,I19,Data!$D:$D,$J$6,Data!$B:$B,$J$5,Data!$E:$E,$J$7)</f>
        <v>0</v>
      </c>
      <c r="N19" s="55">
        <f>M19/$M$30</f>
        <v>0</v>
      </c>
    </row>
    <row r="20" spans="2:14" ht="15.75" customHeight="1" thickTop="1" thickBot="1" x14ac:dyDescent="0.35">
      <c r="B20" s="216" t="s">
        <v>28</v>
      </c>
      <c r="C20" s="40">
        <f>SUMIFS(Data!$I:$I,Data!$G:$G,B20,Data!$D:$D,$C$5,Data!$E:$E,$C$6)</f>
        <v>8999.3870000000006</v>
      </c>
      <c r="D20" s="43" t="s">
        <v>26</v>
      </c>
      <c r="E20" s="41">
        <f>SUMIFS('Input keuzevariabelen'!$I:$I,'Input keuzevariabelen'!$F:$F,'CO2-emissie-inventaris'!B20,'Input keuzevariabelen'!$K:$K,'CO2-emissie-inventaris'!$E$10)</f>
        <v>456</v>
      </c>
      <c r="F20" s="42">
        <f>SUMIFS(Data!$M:$M,Data!$G:$G,B20,Data!$D:$D,$C$5,Data!$E:$E,$C$6)</f>
        <v>4.103720472</v>
      </c>
      <c r="G20" s="112">
        <f>F20/$F$30</f>
        <v>1.5665640757188029E-3</v>
      </c>
      <c r="I20" s="216" t="s">
        <v>28</v>
      </c>
      <c r="J20" s="49">
        <f>SUMIFS(Data!$I:$I,Data!$G:$G,I20,Data!$D:$D,$J$6,Data!$B:$B,$J$5,Data!$E:$E,$J$7)</f>
        <v>5481</v>
      </c>
      <c r="K20" s="53" t="s">
        <v>26</v>
      </c>
      <c r="L20" s="41">
        <f>SUMIFS('Input keuzevariabelen'!$I:$I,'Input keuzevariabelen'!$F:$F,'CO2-emissie-inventaris'!I20,'Input keuzevariabelen'!$K:$K,'CO2-emissie-inventaris'!$E$10)</f>
        <v>456</v>
      </c>
      <c r="M20" s="51">
        <f>SUMIFS(Data!$M:$M,Data!$G:$G,I20,Data!$D:$D,$J$6,Data!$B:$B,$J$5,Data!$E:$E,$J$7)</f>
        <v>2.499336</v>
      </c>
      <c r="N20" s="55">
        <f>M20/$M$30</f>
        <v>1.043817586990484E-3</v>
      </c>
    </row>
    <row r="21" spans="2:14" ht="15.75" customHeight="1" thickTop="1" thickBot="1" x14ac:dyDescent="0.35">
      <c r="B21" s="12"/>
      <c r="C21" s="1"/>
      <c r="D21" s="1"/>
      <c r="E21" s="199" t="s">
        <v>29</v>
      </c>
      <c r="F21" s="200">
        <f>SUM(F18:F20)</f>
        <v>38.160042371047922</v>
      </c>
      <c r="G21" s="113"/>
      <c r="I21" s="12"/>
      <c r="J21" s="1"/>
      <c r="K21" s="1"/>
      <c r="L21" s="37" t="s">
        <v>29</v>
      </c>
      <c r="M21" s="57">
        <f>SUM(M18:M20)</f>
        <v>2.499336</v>
      </c>
      <c r="N21" s="24"/>
    </row>
    <row r="22" spans="2:14" s="2" customFormat="1" ht="15.75" customHeight="1" thickTop="1" thickBot="1" x14ac:dyDescent="0.35">
      <c r="B22" s="12"/>
      <c r="C22" s="1"/>
      <c r="D22" s="1"/>
      <c r="E22" s="13"/>
      <c r="F22" s="14"/>
      <c r="G22" s="113"/>
      <c r="I22" s="12"/>
      <c r="J22" s="1"/>
      <c r="K22" s="1"/>
      <c r="L22" s="13"/>
      <c r="M22" s="14"/>
      <c r="N22" s="24"/>
    </row>
    <row r="23" spans="2:14" ht="36" customHeight="1" thickTop="1" thickBot="1" x14ac:dyDescent="0.35">
      <c r="B23" s="46" t="s">
        <v>30</v>
      </c>
      <c r="C23" s="44" t="s">
        <v>14</v>
      </c>
      <c r="D23" s="44" t="s">
        <v>15</v>
      </c>
      <c r="E23" s="45" t="s">
        <v>16</v>
      </c>
      <c r="F23" s="47" t="s">
        <v>17</v>
      </c>
      <c r="G23" s="113"/>
      <c r="I23" s="46" t="s">
        <v>30</v>
      </c>
      <c r="J23" s="44" t="s">
        <v>14</v>
      </c>
      <c r="K23" s="44" t="s">
        <v>15</v>
      </c>
      <c r="L23" s="45" t="s">
        <v>16</v>
      </c>
      <c r="M23" s="47" t="s">
        <v>17</v>
      </c>
      <c r="N23" s="24"/>
    </row>
    <row r="24" spans="2:14" ht="15.75" customHeight="1" thickTop="1" thickBot="1" x14ac:dyDescent="0.35">
      <c r="B24" s="61" t="s">
        <v>31</v>
      </c>
      <c r="C24" s="40">
        <f>SUMIFS(Data!$I:$I,Data!$G:$G,B24,Data!$D:$D,$C$5,Data!$E:$E,$C$6)</f>
        <v>350421.26642857143</v>
      </c>
      <c r="D24" s="50" t="s">
        <v>32</v>
      </c>
      <c r="E24" s="41">
        <f>SUMIFS('Input keuzevariabelen'!$I:$I,'Input keuzevariabelen'!$F:$F,'CO2-emissie-inventaris'!B24,'Input keuzevariabelen'!$K:$K,'CO2-emissie-inventaris'!$E$10)</f>
        <v>193</v>
      </c>
      <c r="F24" s="42">
        <f>SUMIFS(Data!$M:$M,Data!$G:$G,B24,Data!$D:$D,$C$5,Data!$E:$E,$C$6)</f>
        <v>67.631304420714272</v>
      </c>
      <c r="G24" s="111">
        <f>F24/$F$30</f>
        <v>2.5817736033043638E-2</v>
      </c>
      <c r="I24" s="61" t="s">
        <v>31</v>
      </c>
      <c r="J24" s="49">
        <f>SUMIFS(Data!$I:$I,Data!$G:$G,I24,Data!$D:$D,$J$6,Data!$B:$B,$J$5,Data!$E:$E,$J$7)</f>
        <v>291126</v>
      </c>
      <c r="K24" s="50" t="s">
        <v>32</v>
      </c>
      <c r="L24" s="41">
        <f>SUMIFS('Input keuzevariabelen'!$I:$I,'Input keuzevariabelen'!$F:$F,'CO2-emissie-inventaris'!I24,'Input keuzevariabelen'!$K:$K,'CO2-emissie-inventaris'!$E$10)</f>
        <v>193</v>
      </c>
      <c r="M24" s="51">
        <f>SUMIFS(Data!$M:$M,Data!$G:$G,I24,Data!$D:$D,$J$6,Data!$B:$B,$J$5,Data!$E:$E,$J$7)</f>
        <v>56.187317999999998</v>
      </c>
      <c r="N24" s="54">
        <f>M24/$M$30</f>
        <v>2.346595683582639E-2</v>
      </c>
    </row>
    <row r="25" spans="2:14" ht="15.75" customHeight="1" thickTop="1" thickBot="1" x14ac:dyDescent="0.35">
      <c r="B25" s="61" t="s">
        <v>33</v>
      </c>
      <c r="C25" s="40">
        <f>SUMIFS(Data!$I:$I,Data!$G:$G,B25,Data!$D:$D,$C$5,Data!$E:$E,$C$6)</f>
        <v>522643.13633540372</v>
      </c>
      <c r="D25" s="50" t="s">
        <v>32</v>
      </c>
      <c r="E25" s="41">
        <f>SUMIFS('Input keuzevariabelen'!$I:$I,'Input keuzevariabelen'!$F:$F,'CO2-emissie-inventaris'!B25,'Input keuzevariabelen'!$K:$K,'CO2-emissie-inventaris'!$E$10)</f>
        <v>20</v>
      </c>
      <c r="F25" s="42">
        <f>SUMIFS(Data!$M:$M,Data!$G:$G,B25,Data!$D:$D,$C$5,Data!$E:$E,$C$6)</f>
        <v>10.452862726708075</v>
      </c>
      <c r="G25" s="111">
        <f>F25/$F$30</f>
        <v>3.9903008374496717E-3</v>
      </c>
      <c r="I25" s="61" t="s">
        <v>33</v>
      </c>
      <c r="J25" s="49">
        <f>SUMIFS(Data!$I:$I,Data!$G:$G,I25,Data!$D:$D,$J$6,Data!$B:$B,$J$5,Data!$E:$E,$J$7)</f>
        <v>512119</v>
      </c>
      <c r="K25" s="50" t="s">
        <v>32</v>
      </c>
      <c r="L25" s="41">
        <f>SUMIFS('Input keuzevariabelen'!$I:$I,'Input keuzevariabelen'!$F:$F,'CO2-emissie-inventaris'!I25,'Input keuzevariabelen'!$K:$K,'CO2-emissie-inventaris'!$E$10)</f>
        <v>20</v>
      </c>
      <c r="M25" s="51">
        <f>SUMIFS(Data!$M:$M,Data!$G:$G,I25,Data!$D:$D,$J$6,Data!$B:$B,$J$5,Data!$E:$E,$J$7)</f>
        <v>10.242380000000001</v>
      </c>
      <c r="N25" s="54">
        <f>M25/$M$30</f>
        <v>4.2776066829908399E-3</v>
      </c>
    </row>
    <row r="26" spans="2:14" ht="15.75" customHeight="1" thickTop="1" thickBot="1" x14ac:dyDescent="0.35">
      <c r="B26" s="61" t="s">
        <v>34</v>
      </c>
      <c r="C26" s="40">
        <f>SUMIFS(Data!$I:$I,Data!$G:$G,B26,Data!$D:$D,$C$5,Data!$E:$E,$C$6)</f>
        <v>787.08399999999995</v>
      </c>
      <c r="D26" s="50" t="s">
        <v>32</v>
      </c>
      <c r="E26" s="41">
        <f>SUMIFS('Input keuzevariabelen'!$I:$I,'Input keuzevariabelen'!$F:$F,'CO2-emissie-inventaris'!B26,'Input keuzevariabelen'!$K:$K,'CO2-emissie-inventaris'!$E$10)</f>
        <v>234</v>
      </c>
      <c r="F26" s="42">
        <f>SUMIFS(Data!$M:$M,Data!$G:$G,B26,Data!$D:$D,$C$5,Data!$E:$E,$C$6)</f>
        <v>0.184177656</v>
      </c>
      <c r="G26" s="111">
        <f>F26/$F$30</f>
        <v>7.0308419252317831E-5</v>
      </c>
      <c r="I26" s="61" t="s">
        <v>34</v>
      </c>
      <c r="J26" s="49">
        <f>SUMIFS(Data!$I:$I,Data!$G:$G,I26,Data!$D:$D,$J$6,Data!$B:$B,$J$5,Data!$E:$E,$J$7)</f>
        <v>564</v>
      </c>
      <c r="K26" s="50" t="s">
        <v>32</v>
      </c>
      <c r="L26" s="41">
        <f>SUMIFS('Input keuzevariabelen'!$I:$I,'Input keuzevariabelen'!$F:$F,'CO2-emissie-inventaris'!I26,'Input keuzevariabelen'!$K:$K,'CO2-emissie-inventaris'!$E$10)</f>
        <v>234</v>
      </c>
      <c r="M26" s="51">
        <f>SUMIFS(Data!$M:$M,Data!$G:$G,I26,Data!$D:$D,$J$6,Data!$B:$B,$J$5,Data!$E:$E,$J$7)</f>
        <v>0.13197600000000001</v>
      </c>
      <c r="N26" s="54">
        <f>M26/$M$30</f>
        <v>5.511818733481858E-5</v>
      </c>
    </row>
    <row r="27" spans="2:14" ht="15.75" customHeight="1" thickTop="1" thickBot="1" x14ac:dyDescent="0.35">
      <c r="B27" s="61" t="s">
        <v>35</v>
      </c>
      <c r="C27" s="40">
        <f>SUMIFS(Data!$I:$I,Data!$G:$G,B27,Data!$D:$D,$C$5,Data!$E:$E,$C$6)</f>
        <v>5909.6090000000004</v>
      </c>
      <c r="D27" s="50" t="s">
        <v>32</v>
      </c>
      <c r="E27" s="41">
        <f>SUMIFS('Input keuzevariabelen'!$I:$I,'Input keuzevariabelen'!$F:$F,'CO2-emissie-inventaris'!B27,'Input keuzevariabelen'!$K:$K,'CO2-emissie-inventaris'!$E$10)</f>
        <v>172</v>
      </c>
      <c r="F27" s="42">
        <f>SUMIFS(Data!$M:$M,Data!$G:$G,B27,Data!$D:$D,$C$5,Data!$E:$E,$C$6)</f>
        <v>1.0164527479999999</v>
      </c>
      <c r="G27" s="111">
        <f>F27/$F$30</f>
        <v>3.880231050207011E-4</v>
      </c>
      <c r="I27" s="61" t="s">
        <v>35</v>
      </c>
      <c r="J27" s="49">
        <f>SUMIFS(Data!$I:$I,Data!$G:$G,I27,Data!$D:$D,$J$6,Data!$B:$B,$J$5,Data!$E:$E,$J$7)</f>
        <v>5722</v>
      </c>
      <c r="K27" s="50" t="s">
        <v>32</v>
      </c>
      <c r="L27" s="41">
        <f>SUMIFS('Input keuzevariabelen'!$I:$I,'Input keuzevariabelen'!$F:$F,'CO2-emissie-inventaris'!I27,'Input keuzevariabelen'!$K:$K,'CO2-emissie-inventaris'!$E$10)</f>
        <v>172</v>
      </c>
      <c r="M27" s="51">
        <f>SUMIFS(Data!$M:$M,Data!$G:$G,I27,Data!$D:$D,$J$6,Data!$B:$B,$J$5,Data!$E:$E,$J$7)</f>
        <v>0.98418399999999995</v>
      </c>
      <c r="N27" s="54">
        <f>M27/$M$30</f>
        <v>4.110325974717455E-4</v>
      </c>
    </row>
    <row r="28" spans="2:14" ht="15.75" customHeight="1" thickTop="1" thickBot="1" x14ac:dyDescent="0.35">
      <c r="B28" s="61" t="s">
        <v>36</v>
      </c>
      <c r="C28" s="40">
        <f>SUMIFS(Data!$I:$I,Data!$G:$G,B28,Data!$D:$D,$C$5,Data!$E:$E,$C$6)</f>
        <v>258246</v>
      </c>
      <c r="D28" s="50" t="s">
        <v>32</v>
      </c>
      <c r="E28" s="41">
        <f>SUMIFS('Input keuzevariabelen'!$I:$I,'Input keuzevariabelen'!$F:$F,'CO2-emissie-inventaris'!B28,'Input keuzevariabelen'!$K:$K,'CO2-emissie-inventaris'!$E$10)</f>
        <v>157</v>
      </c>
      <c r="F28" s="42">
        <f>SUMIFS(Data!$M:$M,Data!$G:$G,B28,Data!$D:$D,$C$5,Data!$E:$E,$C$6)</f>
        <v>40.544621999999997</v>
      </c>
      <c r="G28" s="111">
        <f>F28/$F$30</f>
        <v>1.5477601050600562E-2</v>
      </c>
      <c r="I28" s="61" t="s">
        <v>36</v>
      </c>
      <c r="J28" s="49">
        <f>SUMIFS(Data!$I:$I,Data!$G:$G,I28,Data!$D:$D,$J$6,Data!$B:$B,$J$5,Data!$E:$E,$J$7)</f>
        <v>258246</v>
      </c>
      <c r="K28" s="50" t="s">
        <v>32</v>
      </c>
      <c r="L28" s="41">
        <f>SUMIFS('Input keuzevariabelen'!$I:$I,'Input keuzevariabelen'!$F:$F,'CO2-emissie-inventaris'!I28,'Input keuzevariabelen'!$K:$K,'CO2-emissie-inventaris'!$E$10)</f>
        <v>157</v>
      </c>
      <c r="M28" s="51">
        <f>SUMIFS(Data!$M:$M,Data!$G:$G,I28,Data!$D:$D,$J$6,Data!$B:$B,$J$5,Data!$E:$E,$J$7)</f>
        <v>40.544621999999997</v>
      </c>
      <c r="N28" s="54">
        <f>M28/$M$30</f>
        <v>1.6932973198273978E-2</v>
      </c>
    </row>
    <row r="29" spans="2:14" ht="15.75" customHeight="1" thickBot="1" x14ac:dyDescent="0.35">
      <c r="B29" s="12"/>
      <c r="C29" s="1"/>
      <c r="D29" s="1"/>
      <c r="E29" s="199" t="s">
        <v>37</v>
      </c>
      <c r="F29" s="200">
        <f>SUM(F24:F28)</f>
        <v>119.82941955142235</v>
      </c>
      <c r="G29" s="24"/>
      <c r="I29" s="12"/>
      <c r="J29" s="1"/>
      <c r="K29" s="1"/>
      <c r="L29" s="199" t="s">
        <v>37</v>
      </c>
      <c r="M29" s="200">
        <f>SUM(M24:M28)</f>
        <v>108.09047999999999</v>
      </c>
      <c r="N29" s="2"/>
    </row>
    <row r="30" spans="2:14" ht="15.75" customHeight="1" thickTop="1" thickBot="1" x14ac:dyDescent="0.35">
      <c r="B30" s="330" t="s">
        <v>38</v>
      </c>
      <c r="C30" s="331"/>
      <c r="D30" s="331"/>
      <c r="E30" s="59"/>
      <c r="F30" s="285">
        <f>F15+F21+F29</f>
        <v>2619.5675846307449</v>
      </c>
      <c r="G30" s="24"/>
      <c r="I30" s="330" t="s">
        <v>38</v>
      </c>
      <c r="J30" s="331"/>
      <c r="K30" s="331"/>
      <c r="L30" s="59"/>
      <c r="M30" s="60">
        <f>M15+M21+M29</f>
        <v>2394.418365</v>
      </c>
      <c r="N30" s="2"/>
    </row>
    <row r="31" spans="2:14" s="2" customFormat="1" ht="15.75" customHeight="1" thickTop="1" thickBot="1" x14ac:dyDescent="0.35">
      <c r="B31" s="202"/>
      <c r="C31" s="202"/>
      <c r="D31" s="202"/>
      <c r="E31" s="203"/>
      <c r="F31" s="204"/>
      <c r="G31" s="24"/>
      <c r="I31" s="202"/>
      <c r="J31" s="202"/>
      <c r="K31" s="202"/>
      <c r="L31" s="203"/>
      <c r="M31" s="204"/>
    </row>
    <row r="32" spans="2:14" ht="27.6" thickTop="1" thickBot="1" x14ac:dyDescent="0.35">
      <c r="B32" s="46" t="s">
        <v>39</v>
      </c>
      <c r="C32" s="44" t="s">
        <v>14</v>
      </c>
      <c r="D32" s="44" t="s">
        <v>15</v>
      </c>
      <c r="E32" s="45"/>
      <c r="F32" s="47" t="s">
        <v>17</v>
      </c>
      <c r="G32" s="217"/>
      <c r="I32" s="46" t="s">
        <v>39</v>
      </c>
      <c r="J32" s="44" t="s">
        <v>14</v>
      </c>
      <c r="K32" s="44" t="s">
        <v>15</v>
      </c>
      <c r="L32" s="45" t="s">
        <v>16</v>
      </c>
      <c r="M32" s="47" t="s">
        <v>17</v>
      </c>
      <c r="N32" s="2"/>
    </row>
    <row r="33" spans="2:14" ht="15.75" customHeight="1" thickTop="1" thickBot="1" x14ac:dyDescent="0.35">
      <c r="B33" s="56" t="s">
        <v>40</v>
      </c>
      <c r="C33" s="40">
        <f>SUMIFS(Data!$H:$H,Data!$G:$G,B33,Data!$D:$D,$C$5,Data!$E:$E,$C$6)</f>
        <v>547583</v>
      </c>
      <c r="D33" s="43" t="s">
        <v>41</v>
      </c>
      <c r="E33" s="41"/>
      <c r="F33" s="42">
        <f>SUMIFS(Data!$M:$M,Data!$G:$G,B33,Data!$D:$D,$C$5,Data!$E:$E,$C$6)</f>
        <v>0</v>
      </c>
      <c r="G33" s="217"/>
      <c r="I33" s="56" t="s">
        <v>40</v>
      </c>
      <c r="J33" s="49">
        <f>SUMIFS(Data!$I:$I,Data!$G:$G,I33,Data!$D:$D,$J$6,Data!$B:$B,$J$5,Data!$E:$E,$J$7)</f>
        <v>547583</v>
      </c>
      <c r="K33" s="43" t="s">
        <v>41</v>
      </c>
      <c r="L33" s="41" t="e">
        <v>#VALUE!</v>
      </c>
      <c r="M33" s="51">
        <f>SUMIFS(Data!$M:$M,Data!$G:$G,I33,Data!$D:$D,$J$6,Data!$B:$B,$J$5,Data!$E:$E,$J$7)</f>
        <v>0</v>
      </c>
      <c r="N33" s="2"/>
    </row>
    <row r="34" spans="2:14" ht="15.75" customHeight="1" thickTop="1" thickBot="1" x14ac:dyDescent="0.35">
      <c r="B34" s="216" t="s">
        <v>42</v>
      </c>
      <c r="C34" s="40">
        <f>SUMIFS(Data!$H:$H,Data!$G:$G,B34,Data!$D:$D,$C$5,Data!$E:$E,$C$6)</f>
        <v>99493</v>
      </c>
      <c r="D34" s="218" t="s">
        <v>41</v>
      </c>
      <c r="E34" s="41"/>
      <c r="F34" s="42">
        <f>SUMIFS(Data!$M:$M,Data!$G:$G,B34,Data!$D:$D,$C$5,Data!$E:$E,$C$6)</f>
        <v>0</v>
      </c>
      <c r="G34" s="217"/>
      <c r="I34" s="216" t="s">
        <v>42</v>
      </c>
      <c r="J34" s="49">
        <f>SUMIFS(Data!$I:$I,Data!$G:$G,I34,Data!$D:$D,$J$6,Data!$B:$B,$J$5,Data!$E:$E,$J$7)</f>
        <v>99493</v>
      </c>
      <c r="K34" s="218" t="s">
        <v>41</v>
      </c>
      <c r="L34" s="41" t="e">
        <v>#VALUE!</v>
      </c>
      <c r="M34" s="51">
        <f>SUMIFS(Data!$M:$M,Data!$G:$G,I34,Data!$D:$D,$J$6,Data!$B:$B,$J$5,Data!$E:$E,$J$7)</f>
        <v>0</v>
      </c>
      <c r="N34" s="2"/>
    </row>
    <row r="35" spans="2:14" ht="15.75" customHeight="1" thickTop="1" x14ac:dyDescent="0.3">
      <c r="B35" s="2"/>
      <c r="C35" s="2"/>
      <c r="D35" s="2"/>
      <c r="E35" s="2"/>
      <c r="F35" s="201"/>
      <c r="G35" s="25"/>
      <c r="I35" s="2"/>
      <c r="J35" s="2"/>
      <c r="K35" s="2"/>
      <c r="L35" s="2"/>
      <c r="M35" s="2"/>
      <c r="N35" s="2"/>
    </row>
    <row r="36" spans="2:14" ht="15.75" customHeight="1" x14ac:dyDescent="0.3">
      <c r="B36" s="144" t="s">
        <v>43</v>
      </c>
      <c r="C36" s="144"/>
      <c r="D36" s="2"/>
      <c r="E36" s="2"/>
      <c r="F36" s="1"/>
      <c r="G36" s="25"/>
      <c r="L36" s="2"/>
      <c r="M36" s="2"/>
      <c r="N36" s="2"/>
    </row>
    <row r="37" spans="2:14" ht="15.75" customHeight="1" x14ac:dyDescent="0.3">
      <c r="B37" s="4" t="s">
        <v>44</v>
      </c>
      <c r="C37" s="5" t="s">
        <v>45</v>
      </c>
      <c r="D37" s="2"/>
      <c r="E37" s="2"/>
      <c r="F37" s="1"/>
      <c r="G37" s="25"/>
      <c r="L37" s="2"/>
      <c r="M37" s="2"/>
      <c r="N37" s="2"/>
    </row>
    <row r="38" spans="2:14" ht="15.75" customHeight="1" x14ac:dyDescent="0.3">
      <c r="B38" s="145" t="s">
        <v>18</v>
      </c>
      <c r="C38" s="22">
        <f>F12</f>
        <v>2223.709450989275</v>
      </c>
      <c r="D38" s="2"/>
      <c r="E38" s="2"/>
      <c r="F38" s="9"/>
      <c r="G38" s="25"/>
    </row>
    <row r="39" spans="2:14" ht="15.75" customHeight="1" x14ac:dyDescent="0.3">
      <c r="B39" s="145" t="s">
        <v>46</v>
      </c>
      <c r="C39" s="22">
        <f>F13</f>
        <v>133.68818540000001</v>
      </c>
      <c r="D39" s="2"/>
      <c r="E39" s="2"/>
      <c r="F39" s="9"/>
      <c r="G39" s="25"/>
    </row>
    <row r="40" spans="2:14" ht="15.75" customHeight="1" x14ac:dyDescent="0.3">
      <c r="B40" s="145" t="s">
        <v>47</v>
      </c>
      <c r="C40" s="22">
        <f>SUM(F14:F14)</f>
        <v>104.18048631900001</v>
      </c>
      <c r="D40" s="2"/>
      <c r="E40" s="2"/>
      <c r="F40" s="9"/>
      <c r="G40" s="25"/>
    </row>
    <row r="41" spans="2:14" ht="15.75" customHeight="1" x14ac:dyDescent="0.3">
      <c r="B41" s="145" t="s">
        <v>48</v>
      </c>
      <c r="C41" s="22">
        <f>SUM(F17:F18)</f>
        <v>34.056321899047923</v>
      </c>
      <c r="D41" s="2"/>
      <c r="E41" s="2"/>
      <c r="F41" s="9"/>
      <c r="G41" s="25"/>
    </row>
    <row r="42" spans="2:14" ht="15.75" customHeight="1" x14ac:dyDescent="0.3">
      <c r="B42" s="145" t="s">
        <v>49</v>
      </c>
      <c r="C42" s="22">
        <f>F20</f>
        <v>4.103720472</v>
      </c>
      <c r="D42" s="2"/>
      <c r="E42" s="2"/>
      <c r="F42" s="9"/>
      <c r="G42" s="25"/>
    </row>
    <row r="43" spans="2:14" ht="15.75" customHeight="1" x14ac:dyDescent="0.3">
      <c r="B43" s="145" t="s">
        <v>50</v>
      </c>
      <c r="C43" s="23">
        <f>SUM(F24:F25)</f>
        <v>78.084167147422349</v>
      </c>
      <c r="D43" s="2"/>
      <c r="E43" s="2"/>
      <c r="F43" s="9"/>
      <c r="G43" s="25"/>
    </row>
    <row r="44" spans="2:14" ht="15.75" customHeight="1" x14ac:dyDescent="0.3">
      <c r="B44" s="21" t="s">
        <v>51</v>
      </c>
      <c r="C44" s="23">
        <f>SUM(F26:F28)</f>
        <v>41.745252403999999</v>
      </c>
      <c r="D44" s="2"/>
      <c r="E44" s="2"/>
      <c r="F44" s="1"/>
      <c r="G44" s="25"/>
    </row>
  </sheetData>
  <mergeCells count="6">
    <mergeCell ref="B30:D30"/>
    <mergeCell ref="I30:K30"/>
    <mergeCell ref="I3:J3"/>
    <mergeCell ref="B3:C3"/>
    <mergeCell ref="I10:J10"/>
    <mergeCell ref="B10:C10"/>
  </mergeCells>
  <phoneticPr fontId="9" type="noConversion"/>
  <conditionalFormatting sqref="B19:B20">
    <cfRule type="containsBlanks" dxfId="8" priority="5">
      <formula>LEN(TRIM(B19))=0</formula>
    </cfRule>
  </conditionalFormatting>
  <conditionalFormatting sqref="B34">
    <cfRule type="containsBlanks" dxfId="7" priority="3">
      <formula>LEN(TRIM(B34))=0</formula>
    </cfRule>
  </conditionalFormatting>
  <conditionalFormatting sqref="I19:I20">
    <cfRule type="containsBlanks" dxfId="6" priority="4">
      <formula>LEN(TRIM(I19))=0</formula>
    </cfRule>
  </conditionalFormatting>
  <conditionalFormatting sqref="I34">
    <cfRule type="containsBlanks" dxfId="5" priority="2">
      <formula>LEN(TRIM(I34))=0</formula>
    </cfRule>
  </conditionalFormatting>
  <pageMargins left="0.7" right="0.7" top="0.75" bottom="0.75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01CA39B-C9F2-4725-86ED-D2A8B8E9FFFC}">
          <x14:formula1>
            <xm:f>'Input keuzevariabelen'!$E$4:$E$5</xm:f>
          </x14:formula1>
          <xm:sqref>J7 C6</xm:sqref>
        </x14:dataValidation>
        <x14:dataValidation type="list" allowBlank="1" showErrorMessage="1" xr:uid="{00000000-0002-0000-0000-000001000000}">
          <x14:formula1>
            <xm:f>'Input keuzevariabelen'!$D$4:$D$11</xm:f>
          </x14:formula1>
          <xm:sqref>J6 C5</xm:sqref>
        </x14:dataValidation>
        <x14:dataValidation type="list" allowBlank="1" showInputMessage="1" showErrorMessage="1" xr:uid="{53AFADC6-1194-4C41-8081-97F7C411E2AD}">
          <x14:formula1>
            <xm:f>'Input keuzevariabelen'!$B$4:$B$9</xm:f>
          </x14:formula1>
          <xm:sqref>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C0FB0-D960-4C5C-9E9A-E910E46D85F3}">
  <dimension ref="A1:CX92"/>
  <sheetViews>
    <sheetView showGridLines="0" tabSelected="1" zoomScale="60" zoomScaleNormal="60" workbookViewId="0">
      <selection activeCell="E13" sqref="E13"/>
    </sheetView>
  </sheetViews>
  <sheetFormatPr defaultColWidth="0" defaultRowHeight="15" customHeight="1" x14ac:dyDescent="0.3"/>
  <cols>
    <col min="1" max="1" width="7.5" style="2" customWidth="1"/>
    <col min="2" max="2" width="41.5" style="2" customWidth="1"/>
    <col min="3" max="5" width="12" style="2" customWidth="1"/>
    <col min="6" max="6" width="13.59765625" style="2" customWidth="1"/>
    <col min="7" max="7" width="14.8984375" style="2" customWidth="1"/>
    <col min="8" max="8" width="12" style="2" customWidth="1"/>
    <col min="9" max="9" width="16.5" style="2" customWidth="1"/>
    <col min="10" max="10" width="12" style="2" hidden="1" customWidth="1"/>
    <col min="11" max="11" width="3.5" style="2" customWidth="1"/>
    <col min="12" max="12" width="49" style="2" customWidth="1"/>
    <col min="13" max="13" width="26.8984375" style="2" customWidth="1"/>
    <col min="14" max="18" width="12" style="2" customWidth="1"/>
    <col min="19" max="20" width="12" style="2" hidden="1" customWidth="1"/>
    <col min="21" max="22" width="7.3984375" style="2" bestFit="1" customWidth="1"/>
    <col min="23" max="30" width="7.5" style="2" bestFit="1" customWidth="1"/>
    <col min="31" max="31" width="51.5" style="2" customWidth="1"/>
    <col min="32" max="32" width="54" style="2" bestFit="1" customWidth="1"/>
    <col min="33" max="33" width="80.5" style="2" bestFit="1" customWidth="1"/>
    <col min="34" max="34" width="24.5" style="2" customWidth="1"/>
    <col min="35" max="35" width="27.8984375" style="2" customWidth="1"/>
    <col min="36" max="36" width="21" style="2" customWidth="1"/>
    <col min="37" max="40" width="12.5" style="2" customWidth="1"/>
    <col min="41" max="102" width="0" style="2" hidden="1" customWidth="1"/>
    <col min="103" max="16384" width="12.5" style="2" hidden="1"/>
  </cols>
  <sheetData>
    <row r="1" spans="2:25" ht="15.75" customHeight="1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2:25" ht="24" customHeight="1" thickTop="1" thickBot="1" x14ac:dyDescent="0.35">
      <c r="B2" s="349"/>
      <c r="C2" s="350"/>
      <c r="D2" s="114"/>
      <c r="E2" s="114"/>
      <c r="F2" s="114"/>
      <c r="G2" s="114"/>
      <c r="H2" s="114"/>
      <c r="I2" s="114"/>
      <c r="J2" s="114"/>
      <c r="K2" s="1"/>
      <c r="L2" s="344" t="s">
        <v>52</v>
      </c>
      <c r="M2" s="345"/>
      <c r="N2" s="1"/>
      <c r="O2" s="1"/>
      <c r="P2" s="1"/>
      <c r="Q2" s="1"/>
      <c r="R2" s="1"/>
      <c r="S2" s="1"/>
      <c r="T2" s="1"/>
      <c r="U2" s="1"/>
      <c r="V2" s="1"/>
      <c r="W2" s="1"/>
    </row>
    <row r="3" spans="2:25" ht="20.100000000000001" customHeight="1" thickTop="1" thickBot="1" x14ac:dyDescent="0.35">
      <c r="B3" s="6"/>
      <c r="C3" s="6"/>
      <c r="D3" s="6"/>
      <c r="E3" s="6"/>
      <c r="F3" s="6"/>
      <c r="G3" s="6"/>
      <c r="H3" s="6"/>
      <c r="I3" s="6"/>
      <c r="J3" s="6"/>
      <c r="K3" s="1"/>
      <c r="L3" s="73" t="s">
        <v>4</v>
      </c>
      <c r="M3" s="74" t="s">
        <v>5</v>
      </c>
      <c r="N3" s="1"/>
      <c r="O3" s="1"/>
      <c r="P3" s="1"/>
      <c r="Q3" s="1"/>
      <c r="R3" s="1"/>
      <c r="S3" s="1"/>
      <c r="T3" s="1"/>
      <c r="U3" s="1"/>
      <c r="V3" s="1"/>
      <c r="W3" s="1"/>
    </row>
    <row r="4" spans="2:25" ht="15.75" customHeight="1" thickTop="1" thickBot="1" x14ac:dyDescent="0.35">
      <c r="B4" s="1"/>
      <c r="C4" s="7"/>
      <c r="D4" s="7"/>
      <c r="E4" s="7"/>
      <c r="F4" s="7"/>
      <c r="G4" s="7"/>
      <c r="H4" s="7"/>
      <c r="I4" s="7"/>
      <c r="J4" s="7"/>
      <c r="K4" s="1"/>
      <c r="L4" s="75" t="s">
        <v>7</v>
      </c>
      <c r="M4" s="76" t="s">
        <v>53</v>
      </c>
      <c r="N4" s="1"/>
      <c r="O4" s="1"/>
      <c r="P4" s="1"/>
      <c r="Q4" s="1"/>
      <c r="R4" s="1"/>
      <c r="S4" s="1"/>
      <c r="T4" s="1"/>
      <c r="U4" s="1"/>
      <c r="V4" s="1"/>
      <c r="W4" s="1"/>
    </row>
    <row r="5" spans="2:25" ht="15.75" customHeight="1" thickTop="1" thickBot="1" x14ac:dyDescent="0.35">
      <c r="H5" s="27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2:25" ht="33.75" customHeight="1" thickTop="1" thickBot="1" x14ac:dyDescent="0.35">
      <c r="B6" s="351" t="s">
        <v>54</v>
      </c>
      <c r="C6" s="352"/>
      <c r="D6" s="352"/>
      <c r="E6" s="352"/>
      <c r="F6" s="352"/>
      <c r="G6" s="237"/>
      <c r="H6" s="237"/>
      <c r="I6" s="237"/>
      <c r="J6" s="237"/>
      <c r="K6" s="18"/>
      <c r="L6" s="347" t="s">
        <v>55</v>
      </c>
      <c r="M6" s="348"/>
      <c r="N6" s="348"/>
      <c r="O6" s="348"/>
      <c r="P6" s="348"/>
      <c r="Q6" s="348"/>
      <c r="R6" s="348"/>
      <c r="S6" s="348"/>
      <c r="T6" s="348"/>
      <c r="U6" s="18"/>
      <c r="V6" s="18"/>
      <c r="W6" s="1"/>
      <c r="X6" s="346"/>
      <c r="Y6" s="346"/>
    </row>
    <row r="7" spans="2:25" ht="18.75" customHeight="1" thickTop="1" thickBot="1" x14ac:dyDescent="0.35">
      <c r="B7" s="68"/>
      <c r="C7" s="69">
        <f>'Input keuzevariabelen'!$D$4</f>
        <v>2019</v>
      </c>
      <c r="D7" s="69">
        <f>C7+1</f>
        <v>2020</v>
      </c>
      <c r="E7" s="69">
        <f t="shared" ref="E7:H7" si="0">D7+1</f>
        <v>2021</v>
      </c>
      <c r="F7" s="69">
        <f t="shared" si="0"/>
        <v>2022</v>
      </c>
      <c r="G7" s="69">
        <f t="shared" si="0"/>
        <v>2023</v>
      </c>
      <c r="H7" s="69">
        <f t="shared" si="0"/>
        <v>2024</v>
      </c>
      <c r="I7" s="69">
        <f t="shared" ref="I7" si="1">H7+1</f>
        <v>2025</v>
      </c>
      <c r="J7" s="69">
        <f t="shared" ref="J7" si="2">I7+1</f>
        <v>2026</v>
      </c>
      <c r="L7" s="68"/>
      <c r="M7" s="69">
        <f>'Input keuzevariabelen'!$D$4</f>
        <v>2019</v>
      </c>
      <c r="N7" s="69">
        <f>+M7+1</f>
        <v>2020</v>
      </c>
      <c r="O7" s="69">
        <f t="shared" ref="O7:R7" si="3">+N7+1</f>
        <v>2021</v>
      </c>
      <c r="P7" s="69">
        <f t="shared" si="3"/>
        <v>2022</v>
      </c>
      <c r="Q7" s="69">
        <f t="shared" si="3"/>
        <v>2023</v>
      </c>
      <c r="R7" s="69">
        <f t="shared" si="3"/>
        <v>2024</v>
      </c>
      <c r="S7" s="69">
        <f t="shared" ref="S7" si="4">+R7+1</f>
        <v>2025</v>
      </c>
      <c r="T7" s="69">
        <f t="shared" ref="T7" si="5">+S7+1</f>
        <v>2026</v>
      </c>
      <c r="W7" s="1"/>
      <c r="X7" s="19"/>
      <c r="Y7" s="19"/>
    </row>
    <row r="8" spans="2:25" ht="23.25" customHeight="1" thickTop="1" thickBot="1" x14ac:dyDescent="0.35">
      <c r="B8" s="221" t="s">
        <v>13</v>
      </c>
      <c r="C8" s="222" t="s">
        <v>10</v>
      </c>
      <c r="D8" s="222" t="s">
        <v>10</v>
      </c>
      <c r="E8" s="222" t="s">
        <v>10</v>
      </c>
      <c r="F8" s="222" t="s">
        <v>10</v>
      </c>
      <c r="G8" s="222" t="s">
        <v>10</v>
      </c>
      <c r="H8" s="222" t="s">
        <v>56</v>
      </c>
      <c r="I8" s="222" t="s">
        <v>57</v>
      </c>
      <c r="J8" s="222" t="s">
        <v>10</v>
      </c>
      <c r="L8" s="221" t="s">
        <v>13</v>
      </c>
      <c r="M8" s="222" t="s">
        <v>10</v>
      </c>
      <c r="N8" s="222" t="s">
        <v>10</v>
      </c>
      <c r="O8" s="222" t="s">
        <v>10</v>
      </c>
      <c r="P8" s="222" t="s">
        <v>10</v>
      </c>
      <c r="Q8" s="222" t="s">
        <v>10</v>
      </c>
      <c r="R8" s="222" t="s">
        <v>56</v>
      </c>
      <c r="S8" s="222" t="s">
        <v>10</v>
      </c>
      <c r="T8" s="222" t="s">
        <v>10</v>
      </c>
      <c r="W8" s="1"/>
      <c r="X8" s="15"/>
      <c r="Y8" s="15"/>
    </row>
    <row r="9" spans="2:25" ht="15.75" customHeight="1" thickTop="1" thickBot="1" x14ac:dyDescent="0.35">
      <c r="B9" s="48" t="s">
        <v>18</v>
      </c>
      <c r="C9" s="72">
        <f>SUMIFS(Data!$M:$M,Data!$G:$G,$B9,Data!$D:$D,C$7,Data!$E:$E,C$8)</f>
        <v>1747.0650172500004</v>
      </c>
      <c r="D9" s="72">
        <f>SUMIFS(Data!$M:$M,Data!$G:$G,$B9,Data!$D:$D,D$7,Data!$E:$E,D$8)</f>
        <v>2986.3220057039998</v>
      </c>
      <c r="E9" s="72">
        <f>SUMIFS(Data!$M:$M,Data!$G:$G,$B9,Data!$D:$D,E$7,Data!$E:$E,E$8)</f>
        <v>3955.8196526400002</v>
      </c>
      <c r="F9" s="72">
        <f>SUMIFS(Data!$M:$M,Data!$G:$G,$B9,Data!$D:$D,F$7,Data!$E:$E,F$8)</f>
        <v>3397.5135736049997</v>
      </c>
      <c r="G9" s="287">
        <f>SUMIFS(Data!$M:$M,Data!$G:$G,$B9,Data!$D:$D,G$7,Data!$E:$E,G$8)</f>
        <v>2223.709450989275</v>
      </c>
      <c r="H9" s="289">
        <f>SUMIFS(Data!$M:$M,Data!$G:$G,$B9,Data!$D:$D,H$7,Data!$E:$E,H$8)</f>
        <v>1274.6737476717437</v>
      </c>
      <c r="I9" s="287">
        <v>2206.6374509892698</v>
      </c>
      <c r="J9" s="72">
        <f>SUMIFS(Data!$M:$M,Data!$G:$G,$B9,Data!$D:$D,J$7,Data!$E:$E,J$8)</f>
        <v>0</v>
      </c>
      <c r="L9" s="48" t="s">
        <v>18</v>
      </c>
      <c r="M9" s="72">
        <f>SUMIFS(Data!$M:$M,Data!$G:$G,$L9,Data!$D:$D,M$7,Data!$B:$B,$M$4,Data!$E:$E,M$8)</f>
        <v>25.435568969999999</v>
      </c>
      <c r="N9" s="72">
        <f>SUMIFS(Data!$M:$M,Data!$G:$G,$L9,Data!$D:$D,N$7,Data!$B:$B,$M$4,Data!$E:$E,N$8)</f>
        <v>29.839485312000001</v>
      </c>
      <c r="O9" s="72">
        <f>SUMIFS(Data!$M:$M,Data!$G:$G,$L9,Data!$D:$D,O$7,Data!$B:$B,$M$4,Data!$E:$E,O$8)</f>
        <v>33.70451508</v>
      </c>
      <c r="P9" s="72">
        <f>SUMIFS(Data!$M:$M,Data!$G:$G,$L9,Data!$D:$D,P$7,Data!$B:$B,$M$4,Data!$E:$E,P$8)</f>
        <v>29.838451679999999</v>
      </c>
      <c r="Q9" s="259">
        <f>SUMIFS(Data!$M:$M,Data!$G:$G,$L9,Data!$D:$D,Q$7,Data!$B:$B,$M$4,Data!$E:$E,Q$8)</f>
        <v>29.618508842999997</v>
      </c>
      <c r="R9" s="72">
        <f>SUMIFS(Data!$M:$M,Data!$G:$G,$L9,Data!$D:$D,R$7,Data!$B:$B,$M$4,Data!$E:$E,R$8)</f>
        <v>15.201033639</v>
      </c>
      <c r="S9" s="72">
        <f>SUMIFS(Data!$M:$M,Data!$G:$G,$L9,Data!$D:$D,S$7,Data!$B:$B,$M$4,Data!$E:$E,S$8)</f>
        <v>0</v>
      </c>
      <c r="T9" s="72">
        <f>SUMIFS(Data!$M:$M,Data!$G:$G,$L9,Data!$D:$D,T$7,Data!$B:$B,$M$4,Data!$E:$E,T$8)</f>
        <v>0</v>
      </c>
      <c r="W9" s="1"/>
      <c r="X9" s="8"/>
      <c r="Y9" s="11"/>
    </row>
    <row r="10" spans="2:25" ht="15.75" customHeight="1" thickTop="1" thickBot="1" x14ac:dyDescent="0.35">
      <c r="B10" s="48" t="s">
        <v>20</v>
      </c>
      <c r="C10" s="72">
        <f>SUMIFS(Data!$M:$M,Data!$G:$G,$B10,Data!$D:$D,C$7,Data!$E:$E,C$8)</f>
        <v>144.73090165799999</v>
      </c>
      <c r="D10" s="72">
        <f>SUMIFS(Data!$M:$M,Data!$G:$G,$B10,Data!$D:$D,D$7,Data!$E:$E,D$8)</f>
        <v>137.29809539600001</v>
      </c>
      <c r="E10" s="72">
        <f>SUMIFS(Data!$M:$M,Data!$G:$G,$B10,Data!$D:$D,E$7,Data!$E:$E,E$8)</f>
        <v>133.22583416800001</v>
      </c>
      <c r="F10" s="72">
        <f>SUMIFS(Data!$M:$M,Data!$G:$G,$B10,Data!$D:$D,F$7,Data!$E:$E,F$8)</f>
        <v>145.82364060496934</v>
      </c>
      <c r="G10" s="287">
        <f>SUMIFS(Data!$M:$M,Data!$G:$G,$B10,Data!$D:$D,G$7,Data!$E:$E,G$8)</f>
        <v>133.68818540000001</v>
      </c>
      <c r="H10" s="290">
        <f>SUMIFS(Data!$M:$M,Data!$G:$G,$B10,Data!$D:$D,H$7,Data!$E:$E,H$8)</f>
        <v>66.843767099999994</v>
      </c>
      <c r="I10" s="287">
        <v>37.600369400000005</v>
      </c>
      <c r="J10" s="72">
        <f>SUMIFS(Data!$M:$M,Data!$G:$G,$B10,Data!$D:$D,J$7,Data!$E:$E,J$8)</f>
        <v>0</v>
      </c>
      <c r="L10" s="48" t="s">
        <v>20</v>
      </c>
      <c r="M10" s="72">
        <f>SUMIFS(Data!$M:$M,Data!$G:$G,$L10,Data!$D:$D,M$7,Data!$B:$B,$M$4,Data!$E:$E,M$8)</f>
        <v>32.301008658000001</v>
      </c>
      <c r="N10" s="72">
        <f>SUMIFS(Data!$M:$M,Data!$G:$G,$L10,Data!$D:$D,N$7,Data!$B:$B,$M$4,Data!$E:$E,N$8)</f>
        <v>31.348335396</v>
      </c>
      <c r="O10" s="72">
        <f>SUMIFS(Data!$M:$M,Data!$G:$G,$L10,Data!$D:$D,O$7,Data!$B:$B,$M$4,Data!$E:$E,O$8)</f>
        <v>42.046410168000008</v>
      </c>
      <c r="P10" s="72">
        <f>SUMIFS(Data!$M:$M,Data!$G:$G,$L10,Data!$D:$D,P$7,Data!$B:$B,$M$4,Data!$E:$E,P$8)</f>
        <v>46.648834469999997</v>
      </c>
      <c r="Q10" s="72">
        <f>SUMIFS(Data!$M:$M,Data!$G:$G,$L10,Data!$D:$D,Q$7,Data!$B:$B,$M$4,Data!$E:$E,Q$8)</f>
        <v>47.135513304</v>
      </c>
      <c r="R10" s="72">
        <f>SUMIFS(Data!$M:$M,Data!$G:$G,$L10,Data!$D:$D,R$7,Data!$B:$B,$M$4,Data!$E:$E,R$8)</f>
        <v>23.567756652</v>
      </c>
      <c r="S10" s="72">
        <f>SUMIFS(Data!$M:$M,Data!$G:$G,$L10,Data!$D:$D,S$7,Data!$B:$B,$M$4,Data!$E:$E,S$8)</f>
        <v>0</v>
      </c>
      <c r="T10" s="72">
        <f>SUMIFS(Data!$M:$M,Data!$G:$G,$L10,Data!$D:$D,T$7,Data!$B:$B,$M$4,Data!$E:$E,T$8)</f>
        <v>0</v>
      </c>
      <c r="W10" s="1"/>
      <c r="X10" s="7"/>
      <c r="Y10" s="11"/>
    </row>
    <row r="11" spans="2:25" ht="15.6" customHeight="1" thickTop="1" thickBot="1" x14ac:dyDescent="0.35">
      <c r="B11" s="48" t="s">
        <v>22</v>
      </c>
      <c r="C11" s="72">
        <f>SUMIFS(Data!$M:$M,Data!$G:$G,$B11,Data!$D:$D,C$7,Data!$E:$E,C$8)</f>
        <v>82.060476567999999</v>
      </c>
      <c r="D11" s="72">
        <f>SUMIFS(Data!$M:$M,Data!$G:$G,$B11,Data!$D:$D,D$7,Data!$E:$E,D$8)</f>
        <v>7.3219144319999998</v>
      </c>
      <c r="E11" s="72">
        <f>SUMIFS(Data!$M:$M,Data!$G:$G,$B11,Data!$D:$D,E$7,Data!$E:$E,E$8)</f>
        <v>81.579421152000009</v>
      </c>
      <c r="F11" s="72">
        <f>SUMIFS(Data!$M:$M,Data!$G:$G,$B11,Data!$D:$D,F$7,Data!$E:$E,F$8)</f>
        <v>87.305294772880302</v>
      </c>
      <c r="G11" s="287">
        <f>SUMIFS(Data!$M:$M,Data!$G:$G,$B11,Data!$D:$D,G$7,Data!$E:$E,G$8)</f>
        <v>104.18048631900001</v>
      </c>
      <c r="H11" s="290">
        <f>SUMIFS(Data!$M:$M,Data!$G:$G,$B11,Data!$D:$D,H$7,Data!$E:$E,H$8)</f>
        <v>52.090144424500004</v>
      </c>
      <c r="I11" s="287">
        <v>20.929955319000001</v>
      </c>
      <c r="J11" s="72">
        <f>SUMIFS(Data!$M:$M,Data!$G:$G,$B11,Data!$D:$D,J$7,Data!$E:$E,J$8)</f>
        <v>0</v>
      </c>
      <c r="L11" s="48" t="s">
        <v>22</v>
      </c>
      <c r="M11" s="72">
        <f>SUMIFS(Data!$M:$M,Data!$G:$G,$L11,Data!$D:$D,M$7,Data!$B:$B,$M$4,Data!$E:$E,M$8)</f>
        <v>0.85857256799999992</v>
      </c>
      <c r="N11" s="72">
        <f>SUMIFS(Data!$M:$M,Data!$G:$G,$L11,Data!$D:$D,N$7,Data!$B:$B,$M$4,Data!$E:$E,N$8)</f>
        <v>0.62361043199999999</v>
      </c>
      <c r="O11" s="72">
        <f>SUMIFS(Data!$M:$M,Data!$G:$G,$L11,Data!$D:$D,O$7,Data!$B:$B,$M$4,Data!$E:$E,O$8)</f>
        <v>0.74876515200000016</v>
      </c>
      <c r="P11" s="72">
        <f>SUMIFS(Data!$M:$M,Data!$G:$G,$L11,Data!$D:$D,P$7,Data!$B:$B,$M$4,Data!$E:$E,P$8)</f>
        <v>1.2163184640000002</v>
      </c>
      <c r="Q11" s="72">
        <f>SUMIFS(Data!$M:$M,Data!$G:$G,$L11,Data!$D:$D,Q$7,Data!$B:$B,$M$4,Data!$E:$E,Q$8)</f>
        <v>1.514301516</v>
      </c>
      <c r="R11" s="72">
        <f>SUMIFS(Data!$M:$M,Data!$G:$G,$L11,Data!$D:$D,R$7,Data!$B:$B,$M$4,Data!$E:$E,R$8)</f>
        <v>0.75715075799999998</v>
      </c>
      <c r="S11" s="72">
        <f>SUMIFS(Data!$M:$M,Data!$G:$G,$L11,Data!$D:$D,S$7,Data!$B:$B,$M$4,Data!$E:$E,S$8)</f>
        <v>0</v>
      </c>
      <c r="T11" s="72">
        <f>SUMIFS(Data!$M:$M,Data!$G:$G,$L11,Data!$D:$D,T$7,Data!$B:$B,$M$4,Data!$E:$E,T$8)</f>
        <v>0</v>
      </c>
      <c r="W11" s="1"/>
      <c r="X11" s="8"/>
      <c r="Y11" s="11"/>
    </row>
    <row r="12" spans="2:25" ht="15.75" customHeight="1" thickTop="1" thickBot="1" x14ac:dyDescent="0.35">
      <c r="B12" s="70" t="s">
        <v>58</v>
      </c>
      <c r="C12" s="71">
        <f t="shared" ref="C12:J12" si="6">SUM(C9:C11)</f>
        <v>1973.8563954760004</v>
      </c>
      <c r="D12" s="71">
        <f t="shared" si="6"/>
        <v>3130.9420155319999</v>
      </c>
      <c r="E12" s="71">
        <f t="shared" si="6"/>
        <v>4170.6249079600002</v>
      </c>
      <c r="F12" s="71">
        <f t="shared" si="6"/>
        <v>3630.642508982849</v>
      </c>
      <c r="G12" s="71">
        <f t="shared" si="6"/>
        <v>2461.5781227082748</v>
      </c>
      <c r="H12" s="291">
        <f t="shared" si="6"/>
        <v>1393.6076591962437</v>
      </c>
      <c r="I12" s="71">
        <v>2265.1999999999998</v>
      </c>
      <c r="J12" s="71">
        <f t="shared" si="6"/>
        <v>0</v>
      </c>
      <c r="L12" s="70" t="s">
        <v>58</v>
      </c>
      <c r="M12" s="71">
        <f t="shared" ref="M12:T12" si="7">SUM(M9:M11)</f>
        <v>58.595150195999999</v>
      </c>
      <c r="N12" s="71">
        <f t="shared" si="7"/>
        <v>61.811431140000003</v>
      </c>
      <c r="O12" s="71">
        <f t="shared" si="7"/>
        <v>76.49969040000002</v>
      </c>
      <c r="P12" s="71">
        <f t="shared" si="7"/>
        <v>77.703604613999985</v>
      </c>
      <c r="Q12" s="71">
        <f t="shared" si="7"/>
        <v>78.268323663000004</v>
      </c>
      <c r="R12" s="71">
        <f t="shared" si="7"/>
        <v>39.525941049000004</v>
      </c>
      <c r="S12" s="71">
        <f t="shared" si="7"/>
        <v>0</v>
      </c>
      <c r="T12" s="71">
        <f t="shared" si="7"/>
        <v>0</v>
      </c>
      <c r="W12" s="1"/>
      <c r="X12" s="7"/>
      <c r="Y12" s="7"/>
    </row>
    <row r="13" spans="2:25" ht="15.75" customHeight="1" thickTop="1" thickBot="1" x14ac:dyDescent="0.35">
      <c r="B13" s="221" t="s">
        <v>24</v>
      </c>
      <c r="C13" s="223"/>
      <c r="D13" s="223"/>
      <c r="E13" s="223"/>
      <c r="F13" s="223"/>
      <c r="G13" s="223"/>
      <c r="H13" s="292"/>
      <c r="I13" s="223"/>
      <c r="J13" s="223"/>
      <c r="L13" s="221" t="s">
        <v>24</v>
      </c>
      <c r="M13" s="223"/>
      <c r="N13" s="223"/>
      <c r="O13" s="223"/>
      <c r="P13" s="223"/>
      <c r="Q13" s="223"/>
      <c r="R13" s="223"/>
      <c r="S13" s="223"/>
      <c r="T13" s="223"/>
      <c r="W13" s="1"/>
      <c r="X13" s="7"/>
      <c r="Y13" s="7"/>
    </row>
    <row r="14" spans="2:25" ht="15.75" customHeight="1" thickTop="1" thickBot="1" x14ac:dyDescent="0.35">
      <c r="B14" s="58" t="s">
        <v>25</v>
      </c>
      <c r="C14" s="72">
        <f>SUMIFS(Data!$M:$M,Data!$G:$G,$B14,Data!$D:$D,C$7,Data!$E:$E,C$8)</f>
        <v>21958.278586705997</v>
      </c>
      <c r="D14" s="72">
        <f>SUMIFS(Data!$M:$M,Data!$G:$G,$B14,Data!$D:$D,D$7,Data!$E:$E,D$8)</f>
        <v>25545.847421663999</v>
      </c>
      <c r="E14" s="72">
        <f>SUMIFS(Data!$M:$M,Data!$G:$G,$B14,Data!$D:$D,E$7,Data!$E:$E,E$8)</f>
        <v>40.356034575999992</v>
      </c>
      <c r="F14" s="72">
        <f>SUMIFS(Data!$M:$M,Data!$G:$G,$B14,Data!$D:$D,F$7,Data!$E:$E,F$8)</f>
        <v>29.013579563654396</v>
      </c>
      <c r="G14" s="287">
        <f>SUMIFS(Data!$M:$M,Data!$G:$G,$B14,Data!$D:$D,G$7,Data!$E:$E,G$8)</f>
        <v>34.056321899047923</v>
      </c>
      <c r="H14" s="290">
        <f>SUMIFS(Data!$M:$M,Data!$G:$G,$B14,Data!$D:$D,H$7,Data!$E:$E,H$8)</f>
        <v>20.015557607335182</v>
      </c>
      <c r="I14" s="288">
        <v>30</v>
      </c>
      <c r="J14" s="72">
        <f>SUMIFS(Data!$M:$M,Data!$G:$G,$B14,Data!$D:$D,J$7,Data!$E:$E,J$8)</f>
        <v>0</v>
      </c>
      <c r="L14" s="58" t="s">
        <v>25</v>
      </c>
      <c r="M14" s="72">
        <f>SUMIFS(Data!$M:$M,Data!$G:$G,$L14,Data!$D:$D,M$7,Data!$B:$B,$M$4,Data!$E:$E,M$8)</f>
        <v>0</v>
      </c>
      <c r="N14" s="259">
        <f>SUMIFS(Data!$M:$M,Data!$G:$G,$L14,Data!$D:$D,N$7,Data!$B:$B,$M$4,Data!$E:$E,N$8)</f>
        <v>0</v>
      </c>
      <c r="O14" s="259">
        <f>SUMIFS(Data!$M:$M,Data!$G:$G,$L14,Data!$D:$D,O$7,Data!$B:$B,$M$4,Data!$E:$E,O$8)</f>
        <v>0</v>
      </c>
      <c r="P14" s="259">
        <f>SUMIFS(Data!$M:$M,Data!$G:$G,$L14,Data!$D:$D,P$7,Data!$B:$B,$M$4,Data!$E:$E,P$8)</f>
        <v>0</v>
      </c>
      <c r="Q14" s="259">
        <f>SUMIFS(Data!$M:$M,Data!$G:$G,$L14,Data!$D:$D,Q$7,Data!$B:$B,$M$4,Data!$E:$E,Q$8)</f>
        <v>0</v>
      </c>
      <c r="R14" s="72">
        <f>SUMIFS(Data!$M:$M,Data!$G:$G,$L14,Data!$D:$D,R$7,Data!$B:$B,$M$4,Data!$E:$E,R$8)</f>
        <v>0</v>
      </c>
      <c r="S14" s="72">
        <f>SUMIFS(Data!$M:$M,Data!$G:$G,$L14,Data!$D:$D,S$7,Data!$B:$B,$M$4,Data!$E:$E,S$8)</f>
        <v>0</v>
      </c>
      <c r="T14" s="72">
        <f>SUMIFS(Data!$M:$M,Data!$G:$G,$L14,Data!$D:$D,T$7,Data!$B:$B,$M$4,Data!$E:$E,T$8)</f>
        <v>0</v>
      </c>
    </row>
    <row r="15" spans="2:25" ht="15.75" customHeight="1" thickTop="1" thickBot="1" x14ac:dyDescent="0.35">
      <c r="B15" s="58" t="s">
        <v>28</v>
      </c>
      <c r="C15" s="72">
        <f>SUMIFS(Data!$M:$M,Data!$G:$G,$B15,Data!$D:$D,C$7,Data!$E:$E,C$8)</f>
        <v>0.101235563</v>
      </c>
      <c r="D15" s="72">
        <f>SUMIFS(Data!$M:$M,Data!$G:$G,$B15,Data!$D:$D,D$7,Data!$E:$E,D$8)</f>
        <v>0.33557769199999998</v>
      </c>
      <c r="E15" s="72">
        <f>SUMIFS(Data!$M:$M,Data!$G:$G,$B15,Data!$D:$D,E$7,Data!$E:$E,E$8)</f>
        <v>0.44997135600000004</v>
      </c>
      <c r="F15" s="72">
        <f>SUMIFS(Data!$M:$M,Data!$G:$G,$B15,Data!$D:$D,F$7,Data!$E:$E,F$8)</f>
        <v>1.286876541</v>
      </c>
      <c r="G15" s="287">
        <f>SUMIFS(Data!$M:$M,Data!$G:$G,$B15,Data!$D:$D,G$7,Data!$E:$E,G$8)</f>
        <v>4.103720472</v>
      </c>
      <c r="H15" s="290">
        <f>SUMIFS(Data!$M:$M,Data!$G:$G,$B15,Data!$D:$D,H$7,Data!$E:$E,H$8)</f>
        <v>6.5231459960000002</v>
      </c>
      <c r="I15" s="288">
        <v>8</v>
      </c>
      <c r="J15" s="72">
        <f>SUMIFS(Data!$M:$M,Data!$G:$G,$B15,Data!$D:$D,J$7,Data!$E:$E,J$8)</f>
        <v>0</v>
      </c>
      <c r="L15" s="58" t="s">
        <v>28</v>
      </c>
      <c r="M15" s="72">
        <f>SUMIFS(Data!$M:$M,Data!$G:$G,$L15,Data!$D:$D,M$7,Data!$B:$B,$M$4,Data!$E:$E,M$8)</f>
        <v>8.428563E-3</v>
      </c>
      <c r="N15" s="259">
        <f>SUMIFS(Data!$M:$M,Data!$G:$G,$L15,Data!$D:$D,N$7,Data!$B:$B,$M$4,Data!$E:$E,N$8)</f>
        <v>0.12262969200000001</v>
      </c>
      <c r="O15" s="259">
        <f>SUMIFS(Data!$M:$M,Data!$G:$G,$L15,Data!$D:$D,O$7,Data!$B:$B,$M$4,Data!$E:$E,O$8)</f>
        <v>0.44997135600000004</v>
      </c>
      <c r="P15" s="259">
        <f>SUMIFS(Data!$M:$M,Data!$G:$G,$L15,Data!$D:$D,P$7,Data!$B:$B,$M$4,Data!$E:$E,P$8)</f>
        <v>0.94330319700000009</v>
      </c>
      <c r="Q15" s="259">
        <f>SUMIFS(Data!$M:$M,Data!$G:$G,$L15,Data!$D:$D,Q$7,Data!$B:$B,$M$4,Data!$E:$E,Q$8)</f>
        <v>0.895751352</v>
      </c>
      <c r="R15" s="72">
        <f>SUMIFS(Data!$M:$M,Data!$G:$G,$L15,Data!$D:$D,R$7,Data!$B:$B,$M$4,Data!$E:$E,R$8)</f>
        <v>0.52645035600000001</v>
      </c>
      <c r="S15" s="72">
        <f>SUMIFS(Data!$M:$M,Data!$G:$G,$L15,Data!$D:$D,S$7,Data!$B:$B,$M$4,Data!$E:$E,S$8)</f>
        <v>0</v>
      </c>
      <c r="T15" s="72">
        <f>SUMIFS(Data!$M:$M,Data!$G:$G,$L15,Data!$D:$D,T$7,Data!$B:$B,$M$4,Data!$E:$E,T$8)</f>
        <v>0</v>
      </c>
    </row>
    <row r="16" spans="2:25" ht="15.75" customHeight="1" thickTop="1" thickBot="1" x14ac:dyDescent="0.35">
      <c r="B16" s="64" t="s">
        <v>59</v>
      </c>
      <c r="C16" s="65">
        <f t="shared" ref="C16:J16" si="8">SUM(C14:C15)</f>
        <v>21958.379822268998</v>
      </c>
      <c r="D16" s="65">
        <f t="shared" si="8"/>
        <v>25546.182999355999</v>
      </c>
      <c r="E16" s="65">
        <f t="shared" si="8"/>
        <v>40.806005931999991</v>
      </c>
      <c r="F16" s="65">
        <f t="shared" si="8"/>
        <v>30.300456104654398</v>
      </c>
      <c r="G16" s="65">
        <f t="shared" si="8"/>
        <v>38.160042371047922</v>
      </c>
      <c r="H16" s="293">
        <f t="shared" si="8"/>
        <v>26.538703603335183</v>
      </c>
      <c r="I16" s="65">
        <f t="shared" si="8"/>
        <v>38</v>
      </c>
      <c r="J16" s="65">
        <f t="shared" si="8"/>
        <v>0</v>
      </c>
      <c r="L16" s="64" t="s">
        <v>59</v>
      </c>
      <c r="M16" s="65">
        <f t="shared" ref="M16:T16" si="9">SUM(M14:M15)</f>
        <v>8.428563E-3</v>
      </c>
      <c r="N16" s="65">
        <f t="shared" si="9"/>
        <v>0.12262969200000001</v>
      </c>
      <c r="O16" s="65">
        <f t="shared" si="9"/>
        <v>0.44997135600000004</v>
      </c>
      <c r="P16" s="65">
        <f t="shared" si="9"/>
        <v>0.94330319700000009</v>
      </c>
      <c r="Q16" s="65">
        <f t="shared" si="9"/>
        <v>0.895751352</v>
      </c>
      <c r="R16" s="65">
        <f t="shared" si="9"/>
        <v>0.52645035600000001</v>
      </c>
      <c r="S16" s="65">
        <f t="shared" si="9"/>
        <v>0</v>
      </c>
      <c r="T16" s="65">
        <f t="shared" si="9"/>
        <v>0</v>
      </c>
    </row>
    <row r="17" spans="1:20" ht="15.75" customHeight="1" thickTop="1" thickBot="1" x14ac:dyDescent="0.35">
      <c r="B17" s="224" t="s">
        <v>30</v>
      </c>
      <c r="C17" s="225"/>
      <c r="D17" s="225"/>
      <c r="E17" s="225"/>
      <c r="F17" s="225"/>
      <c r="G17" s="225"/>
      <c r="H17" s="294"/>
      <c r="I17" s="225"/>
      <c r="J17" s="225"/>
      <c r="L17" s="224" t="s">
        <v>30</v>
      </c>
      <c r="M17" s="225"/>
      <c r="N17" s="225"/>
      <c r="O17" s="225"/>
      <c r="P17" s="225"/>
      <c r="Q17" s="225"/>
      <c r="R17" s="225"/>
      <c r="S17" s="225"/>
      <c r="T17" s="225"/>
    </row>
    <row r="18" spans="1:20" ht="17.399999999999999" thickTop="1" thickBot="1" x14ac:dyDescent="0.35">
      <c r="B18" s="61" t="s">
        <v>31</v>
      </c>
      <c r="C18" s="72">
        <f>SUMIFS(Data!$M:$M,Data!$G:$G,$B18,Data!$D:$D,C$7,Data!$E:$E,C$8)</f>
        <v>472.74983915789477</v>
      </c>
      <c r="D18" s="72">
        <f>SUMIFS(Data!$M:$M,Data!$G:$G,$B18,Data!$D:$D,D$7,Data!$E:$E,D$8)</f>
        <v>215.93746405263158</v>
      </c>
      <c r="E18" s="72">
        <f>SUMIFS(Data!$M:$M,Data!$G:$G,$B18,Data!$D:$D,E$7,Data!$E:$E,E$8)</f>
        <v>36.943759894736843</v>
      </c>
      <c r="F18" s="72">
        <f>SUMIFS(Data!$M:$M,Data!$G:$G,$B18,Data!$D:$D,F$7,Data!$E:$E,F$8)</f>
        <v>55.91050220378947</v>
      </c>
      <c r="G18" s="287">
        <f>SUMIFS(Data!$M:$M,Data!$G:$G,$B18,Data!$D:$D,G$7,Data!$E:$E,G$8)</f>
        <v>67.631304420714272</v>
      </c>
      <c r="H18" s="290">
        <f>SUMIFS(Data!$M:$M,Data!$G:$G,$B18,Data!$D:$D,H$7,Data!$E:$E,H$8)</f>
        <v>16.557688710357144</v>
      </c>
      <c r="I18" s="288">
        <v>48.331304420714304</v>
      </c>
      <c r="J18" s="72">
        <f>SUMIFS(Data!$M:$M,Data!$G:$G,$B18,Data!$D:$D,J$7,Data!$E:$E,J$8)</f>
        <v>0</v>
      </c>
      <c r="L18" s="61" t="s">
        <v>31</v>
      </c>
      <c r="M18" s="72">
        <f>SUMIFS(Data!$M:$M,Data!$G:$G,$L18,Data!$D:$D,M$7,Data!$B:$B,$M$4,Data!$E:$E,M$8)</f>
        <v>6.628359157894737</v>
      </c>
      <c r="N18" s="72">
        <f>SUMIFS(Data!$M:$M,Data!$G:$G,$L18,Data!$D:$D,N$7,Data!$B:$B,$M$4,Data!$E:$E,N$8)</f>
        <v>3.6074240526315795</v>
      </c>
      <c r="O18" s="72">
        <f>SUMIFS(Data!$M:$M,Data!$G:$G,$L18,Data!$D:$D,O$7,Data!$B:$B,$M$4,Data!$E:$E,O$8)</f>
        <v>3.5730198947368423</v>
      </c>
      <c r="P18" s="72">
        <f>SUMIFS(Data!$M:$M,Data!$G:$G,$L18,Data!$D:$D,P$7,Data!$B:$B,$M$4,Data!$E:$E,P$8)</f>
        <v>4.0753311157894743</v>
      </c>
      <c r="Q18" s="72">
        <f>SUMIFS(Data!$M:$M,Data!$G:$G,$L18,Data!$D:$D,Q$7,Data!$B:$B,$M$4,Data!$E:$E,Q$8)</f>
        <v>11.406931385714286</v>
      </c>
      <c r="R18" s="72">
        <f>SUMIFS(Data!$M:$M,Data!$G:$G,$L18,Data!$D:$D,R$7,Data!$B:$B,$M$4,Data!$E:$E,R$8)</f>
        <v>5.7034656928571428</v>
      </c>
      <c r="S18" s="72">
        <f>SUMIFS(Data!$M:$M,Data!$G:$G,$L18,Data!$D:$D,S$7,Data!$B:$B,$M$4,Data!$E:$E,S$8)</f>
        <v>0</v>
      </c>
      <c r="T18" s="72">
        <f>SUMIFS(Data!$M:$M,Data!$G:$G,$L18,Data!$D:$D,T$7,Data!$B:$B,$M$4,Data!$E:$E,T$8)</f>
        <v>0</v>
      </c>
    </row>
    <row r="19" spans="1:20" ht="17.399999999999999" thickTop="1" thickBot="1" x14ac:dyDescent="0.35">
      <c r="B19" s="61" t="s">
        <v>33</v>
      </c>
      <c r="C19" s="72">
        <v>9.8000000000000007</v>
      </c>
      <c r="D19" s="72">
        <f>SUMIFS(Data!$M:$M,Data!$G:$G,$B19,Data!$D:$D,D$7,Data!$E:$E,D$8)</f>
        <v>1.3852800000000002E-2</v>
      </c>
      <c r="E19" s="72">
        <f>SUMIFS(Data!$M:$M,Data!$G:$G,$B19,Data!$D:$D,E$7,Data!$E:$E,E$8)</f>
        <v>2.0241999000000002</v>
      </c>
      <c r="F19" s="72">
        <f>SUMIFS(Data!$M:$M,Data!$G:$G,$B19,Data!$D:$D,F$7,Data!$E:$E,F$8)</f>
        <v>5.2424102307692317</v>
      </c>
      <c r="G19" s="287">
        <f>SUMIFS(Data!$M:$M,Data!$G:$G,$B19,Data!$D:$D,G$7,Data!$E:$E,G$8)</f>
        <v>10.452862726708075</v>
      </c>
      <c r="H19" s="290">
        <f>SUMIFS(Data!$M:$M,Data!$G:$G,$B19,Data!$D:$D,H$7,Data!$E:$E,H$8)</f>
        <v>8.6405593633540363</v>
      </c>
      <c r="I19" s="288">
        <v>10.452862726708075</v>
      </c>
      <c r="J19" s="72">
        <f>SUMIFS(Data!$M:$M,Data!$G:$G,$B19,Data!$D:$D,J$7,Data!$E:$E,J$8)</f>
        <v>0</v>
      </c>
      <c r="L19" s="61" t="s">
        <v>33</v>
      </c>
      <c r="M19" s="72">
        <f>SUMIFS(Data!$M:$M,Data!$G:$G,$L19,Data!$D:$D,M$7,Data!$B:$B,$M$4,Data!$E:$E,M$8)</f>
        <v>1.8301680000000001E-2</v>
      </c>
      <c r="N19" s="72">
        <f>SUMIFS(Data!$M:$M,Data!$G:$G,$L19,Data!$D:$D,N$7,Data!$B:$B,$M$4,Data!$E:$E,N$8)</f>
        <v>1.3852800000000002E-2</v>
      </c>
      <c r="O19" s="72">
        <f>SUMIFS(Data!$M:$M,Data!$G:$G,$L19,Data!$D:$D,O$7,Data!$B:$B,$M$4,Data!$E:$E,O$8)</f>
        <v>1.9524900000000001E-2</v>
      </c>
      <c r="P19" s="72">
        <f>SUMIFS(Data!$M:$M,Data!$G:$G,$L19,Data!$D:$D,P$7,Data!$B:$B,$M$4,Data!$E:$E,P$8)</f>
        <v>9.8568000000000003E-2</v>
      </c>
      <c r="Q19" s="72">
        <f>SUMIFS(Data!$M:$M,Data!$G:$G,$L19,Data!$D:$D,Q$7,Data!$B:$B,$M$4,Data!$E:$E,Q$8)</f>
        <v>0.20610286956521739</v>
      </c>
      <c r="R19" s="72">
        <f>SUMIFS(Data!$M:$M,Data!$G:$G,$L19,Data!$D:$D,R$7,Data!$B:$B,$M$4,Data!$E:$E,R$8)</f>
        <v>0.1030514347826087</v>
      </c>
      <c r="S19" s="72">
        <f>SUMIFS(Data!$M:$M,Data!$G:$G,$L19,Data!$D:$D,S$7,Data!$B:$B,$M$4,Data!$E:$E,S$8)</f>
        <v>0</v>
      </c>
      <c r="T19" s="72">
        <f>SUMIFS(Data!$M:$M,Data!$G:$G,$L19,Data!$D:$D,T$7,Data!$B:$B,$M$4,Data!$E:$E,T$8)</f>
        <v>0</v>
      </c>
    </row>
    <row r="20" spans="1:20" ht="17.399999999999999" thickTop="1" thickBot="1" x14ac:dyDescent="0.35">
      <c r="B20" s="61" t="s">
        <v>34</v>
      </c>
      <c r="C20" s="72">
        <f>SUMIFS(Data!$M:$M,Data!$G:$G,$B20,Data!$D:$D,C$7,Data!$E:$E,C$8)</f>
        <v>2.308878</v>
      </c>
      <c r="D20" s="72">
        <f>SUMIFS(Data!$M:$M,Data!$G:$G,$B20,Data!$D:$D,D$7,Data!$E:$E,D$8)</f>
        <v>0.58211999999999997</v>
      </c>
      <c r="E20" s="72">
        <f>SUMIFS(Data!$M:$M,Data!$G:$G,$B20,Data!$D:$D,E$7,Data!$E:$E,E$8)</f>
        <v>0</v>
      </c>
      <c r="F20" s="72">
        <f>SUMIFS(Data!$M:$M,Data!$G:$G,$B20,Data!$D:$D,F$7,Data!$E:$E,F$8)</f>
        <v>5.8271616000000005E-2</v>
      </c>
      <c r="G20" s="287">
        <f>SUMIFS(Data!$M:$M,Data!$G:$G,$B20,Data!$D:$D,G$7,Data!$E:$E,G$8)</f>
        <v>0.184177656</v>
      </c>
      <c r="H20" s="290">
        <f>SUMIFS(Data!$M:$M,Data!$G:$G,$B20,Data!$D:$D,H$7,Data!$E:$E,H$8)</f>
        <v>9.2088827999999998E-2</v>
      </c>
      <c r="I20" s="288">
        <v>0.184177656</v>
      </c>
      <c r="J20" s="72">
        <f>SUMIFS(Data!$M:$M,Data!$G:$G,$B20,Data!$D:$D,J$7,Data!$E:$E,J$8)</f>
        <v>0</v>
      </c>
      <c r="L20" s="61" t="s">
        <v>34</v>
      </c>
      <c r="M20" s="72">
        <f>SUMIFS(Data!$M:$M,Data!$G:$G,$L20,Data!$D:$D,M$7,Data!$B:$B,$M$4,Data!$E:$E,M$8)</f>
        <v>0</v>
      </c>
      <c r="N20" s="72">
        <f>SUMIFS(Data!$M:$M,Data!$G:$G,$L20,Data!$D:$D,N$7,Data!$B:$B,$M$4,Data!$E:$E,N$8)</f>
        <v>0</v>
      </c>
      <c r="O20" s="72">
        <f>SUMIFS(Data!$M:$M,Data!$G:$G,$L20,Data!$D:$D,O$7,Data!$B:$B,$M$4,Data!$E:$E,O$8)</f>
        <v>0</v>
      </c>
      <c r="P20" s="72">
        <f>SUMIFS(Data!$M:$M,Data!$G:$G,$L20,Data!$D:$D,P$7,Data!$B:$B,$M$4,Data!$E:$E,P$8)</f>
        <v>0</v>
      </c>
      <c r="Q20" s="72">
        <f>SUMIFS(Data!$M:$M,Data!$G:$G,$L20,Data!$D:$D,Q$7,Data!$B:$B,$M$4,Data!$E:$E,Q$8)</f>
        <v>0</v>
      </c>
      <c r="R20" s="72">
        <f>SUMIFS(Data!$M:$M,Data!$G:$G,$L20,Data!$D:$D,R$7,Data!$B:$B,$M$4,Data!$E:$E,R$8)</f>
        <v>0</v>
      </c>
      <c r="S20" s="72">
        <f>SUMIFS(Data!$M:$M,Data!$G:$G,$L20,Data!$D:$D,S$7,Data!$B:$B,$M$4,Data!$E:$E,S$8)</f>
        <v>0</v>
      </c>
      <c r="T20" s="72">
        <f>SUMIFS(Data!$M:$M,Data!$G:$G,$L20,Data!$D:$D,T$7,Data!$B:$B,$M$4,Data!$E:$E,T$8)</f>
        <v>0</v>
      </c>
    </row>
    <row r="21" spans="1:20" ht="17.399999999999999" thickTop="1" thickBot="1" x14ac:dyDescent="0.35">
      <c r="B21" s="61" t="s">
        <v>35</v>
      </c>
      <c r="C21" s="72">
        <f>SUMIFS(Data!$M:$M,Data!$G:$G,$B21,Data!$D:$D,C$7,Data!$E:$E,C$8)</f>
        <v>1.1572</v>
      </c>
      <c r="D21" s="72">
        <f>SUMIFS(Data!$M:$M,Data!$G:$G,$B21,Data!$D:$D,D$7,Data!$E:$E,D$8)</f>
        <v>41.313400000000001</v>
      </c>
      <c r="E21" s="72">
        <f>SUMIFS(Data!$M:$M,Data!$G:$G,$B21,Data!$D:$D,E$7,Data!$E:$E,E$8)</f>
        <v>1.0012000000000001</v>
      </c>
      <c r="F21" s="72">
        <f>SUMIFS(Data!$M:$M,Data!$G:$G,$B21,Data!$D:$D,F$7,Data!$E:$E,F$8)</f>
        <v>3.6020928000000001E-2</v>
      </c>
      <c r="G21" s="287">
        <f>SUMIFS(Data!$M:$M,Data!$G:$G,$B21,Data!$D:$D,G$7,Data!$E:$E,G$8)</f>
        <v>1.0164527479999999</v>
      </c>
      <c r="H21" s="290">
        <f>SUMIFS(Data!$M:$M,Data!$G:$G,$B21,Data!$D:$D,H$7,Data!$E:$E,H$8)</f>
        <v>0.50822637399999993</v>
      </c>
      <c r="I21" s="288">
        <v>1.0164527479999999</v>
      </c>
      <c r="J21" s="72">
        <f>SUMIFS(Data!$M:$M,Data!$G:$G,$B21,Data!$D:$D,J$7,Data!$E:$E,J$8)</f>
        <v>0</v>
      </c>
      <c r="L21" s="61" t="s">
        <v>35</v>
      </c>
      <c r="M21" s="72">
        <f>SUMIFS(Data!$M:$M,Data!$G:$G,$L21,Data!$D:$D,M$7,Data!$B:$B,$M$4,Data!$E:$E,M$8)</f>
        <v>0</v>
      </c>
      <c r="N21" s="72">
        <f>SUMIFS(Data!$M:$M,Data!$G:$G,$L21,Data!$D:$D,N$7,Data!$B:$B,$M$4,Data!$E:$E,N$8)</f>
        <v>0</v>
      </c>
      <c r="O21" s="72">
        <f>SUMIFS(Data!$M:$M,Data!$G:$G,$L21,Data!$D:$D,O$7,Data!$B:$B,$M$4,Data!$E:$E,O$8)</f>
        <v>0</v>
      </c>
      <c r="P21" s="72">
        <f>SUMIFS(Data!$M:$M,Data!$G:$G,$L21,Data!$D:$D,P$7,Data!$B:$B,$M$4,Data!$E:$E,P$8)</f>
        <v>0</v>
      </c>
      <c r="Q21" s="72">
        <f>SUMIFS(Data!$M:$M,Data!$G:$G,$L21,Data!$D:$D,Q$7,Data!$B:$B,$M$4,Data!$E:$E,Q$8)</f>
        <v>0</v>
      </c>
      <c r="R21" s="72">
        <f>SUMIFS(Data!$M:$M,Data!$G:$G,$L21,Data!$D:$D,R$7,Data!$B:$B,$M$4,Data!$E:$E,R$8)</f>
        <v>0</v>
      </c>
      <c r="S21" s="72">
        <f>SUMIFS(Data!$M:$M,Data!$G:$G,$L21,Data!$D:$D,S$7,Data!$B:$B,$M$4,Data!$E:$E,S$8)</f>
        <v>0</v>
      </c>
      <c r="T21" s="72">
        <f>SUMIFS(Data!$M:$M,Data!$G:$G,$L21,Data!$D:$D,T$7,Data!$B:$B,$M$4,Data!$E:$E,T$8)</f>
        <v>0</v>
      </c>
    </row>
    <row r="22" spans="1:20" ht="17.399999999999999" thickTop="1" thickBot="1" x14ac:dyDescent="0.35">
      <c r="B22" s="61" t="s">
        <v>36</v>
      </c>
      <c r="C22" s="72">
        <f>SUMIFS(Data!$M:$M,Data!$G:$G,$B22,Data!$D:$D,C$7,Data!$E:$E,C$8)</f>
        <v>25.956966000000001</v>
      </c>
      <c r="D22" s="72">
        <f>SUMIFS(Data!$M:$M,Data!$G:$G,$B22,Data!$D:$D,D$7,Data!$E:$E,D$8)</f>
        <v>8.6474220000000006</v>
      </c>
      <c r="E22" s="72">
        <f>SUMIFS(Data!$M:$M,Data!$G:$G,$B22,Data!$D:$D,E$7,Data!$E:$E,E$8)</f>
        <v>0</v>
      </c>
      <c r="F22" s="72">
        <f>SUMIFS(Data!$M:$M,Data!$G:$G,$B22,Data!$D:$D,F$7,Data!$E:$E,F$8)</f>
        <v>47.57414</v>
      </c>
      <c r="G22" s="287">
        <f>SUMIFS(Data!$M:$M,Data!$G:$G,$B22,Data!$D:$D,G$7,Data!$E:$E,G$8)</f>
        <v>40.544621999999997</v>
      </c>
      <c r="H22" s="290">
        <f>SUMIFS(Data!$M:$M,Data!$G:$G,$B22,Data!$D:$D,H$7,Data!$E:$E,H$8)</f>
        <v>20.272310999999998</v>
      </c>
      <c r="I22" s="288">
        <v>40.544621999999997</v>
      </c>
      <c r="J22" s="72">
        <f>SUMIFS(Data!$M:$M,Data!$G:$G,$B22,Data!$D:$D,J$7,Data!$E:$E,J$8)</f>
        <v>0</v>
      </c>
      <c r="L22" s="61" t="s">
        <v>36</v>
      </c>
      <c r="M22" s="72">
        <f>SUMIFS(Data!$M:$M,Data!$G:$G,$L22,Data!$D:$D,M$7,Data!$B:$B,$M$4,Data!$E:$E,M$8)</f>
        <v>0</v>
      </c>
      <c r="N22" s="72">
        <f>SUMIFS(Data!$M:$M,Data!$G:$G,$L22,Data!$D:$D,N$7,Data!$B:$B,$M$4,Data!$E:$E,N$8)</f>
        <v>0</v>
      </c>
      <c r="O22" s="72">
        <f>SUMIFS(Data!$M:$M,Data!$G:$G,$L22,Data!$D:$D,O$7,Data!$B:$B,$M$4,Data!$E:$E,O$8)</f>
        <v>0</v>
      </c>
      <c r="P22" s="72">
        <f>SUMIFS(Data!$M:$M,Data!$G:$G,$L22,Data!$D:$D,P$7,Data!$B:$B,$M$4,Data!$E:$E,P$8)</f>
        <v>0</v>
      </c>
      <c r="Q22" s="72">
        <f>SUMIFS(Data!$M:$M,Data!$G:$G,$L22,Data!$D:$D,Q$7,Data!$B:$B,$M$4,Data!$E:$E,Q$8)</f>
        <v>0</v>
      </c>
      <c r="R22" s="72">
        <f>SUMIFS(Data!$M:$M,Data!$G:$G,$L22,Data!$D:$D,R$7,Data!$B:$B,$M$4,Data!$E:$E,R$8)</f>
        <v>0</v>
      </c>
      <c r="S22" s="72">
        <f>SUMIFS(Data!$M:$M,Data!$G:$G,$L22,Data!$D:$D,S$7,Data!$B:$B,$M$4,Data!$E:$E,S$8)</f>
        <v>0</v>
      </c>
      <c r="T22" s="72">
        <f>SUMIFS(Data!$M:$M,Data!$G:$G,$L22,Data!$D:$D,T$7,Data!$B:$B,$M$4,Data!$E:$E,T$8)</f>
        <v>0</v>
      </c>
    </row>
    <row r="23" spans="1:20" ht="15.75" customHeight="1" thickTop="1" thickBot="1" x14ac:dyDescent="0.35">
      <c r="B23" s="64" t="s">
        <v>60</v>
      </c>
      <c r="C23" s="65">
        <f t="shared" ref="C23:J23" si="10">SUM(C18:C22)</f>
        <v>511.97288315789478</v>
      </c>
      <c r="D23" s="65">
        <f t="shared" si="10"/>
        <v>266.49425885263156</v>
      </c>
      <c r="E23" s="65">
        <f t="shared" si="10"/>
        <v>39.969159794736839</v>
      </c>
      <c r="F23" s="65">
        <f t="shared" si="10"/>
        <v>108.8213449785587</v>
      </c>
      <c r="G23" s="65">
        <f t="shared" si="10"/>
        <v>119.82941955142235</v>
      </c>
      <c r="H23" s="293">
        <f t="shared" si="10"/>
        <v>46.070874275711176</v>
      </c>
      <c r="I23" s="65">
        <f>SUM(I18:I22)</f>
        <v>100.52941955142238</v>
      </c>
      <c r="J23" s="65">
        <f t="shared" si="10"/>
        <v>0</v>
      </c>
      <c r="L23" s="64" t="s">
        <v>60</v>
      </c>
      <c r="M23" s="65">
        <f t="shared" ref="M23:T23" si="11">SUM(M18:M22)</f>
        <v>6.6466608378947374</v>
      </c>
      <c r="N23" s="65">
        <f t="shared" si="11"/>
        <v>3.6212768526315795</v>
      </c>
      <c r="O23" s="65">
        <f t="shared" si="11"/>
        <v>3.5925447947368423</v>
      </c>
      <c r="P23" s="65">
        <f t="shared" si="11"/>
        <v>4.1738991157894745</v>
      </c>
      <c r="Q23" s="65">
        <f t="shared" si="11"/>
        <v>11.613034255279503</v>
      </c>
      <c r="R23" s="65">
        <f t="shared" si="11"/>
        <v>5.8065171276397516</v>
      </c>
      <c r="S23" s="65">
        <f t="shared" si="11"/>
        <v>0</v>
      </c>
      <c r="T23" s="65">
        <f t="shared" si="11"/>
        <v>0</v>
      </c>
    </row>
    <row r="24" spans="1:20" ht="15.75" customHeight="1" thickTop="1" thickBot="1" x14ac:dyDescent="0.35">
      <c r="B24" s="224" t="s">
        <v>61</v>
      </c>
      <c r="C24" s="225">
        <f t="shared" ref="C24:J24" si="12">C12+C16+C23</f>
        <v>24444.209100902892</v>
      </c>
      <c r="D24" s="225">
        <f t="shared" si="12"/>
        <v>28943.619273740631</v>
      </c>
      <c r="E24" s="225">
        <f t="shared" si="12"/>
        <v>4251.4000736867365</v>
      </c>
      <c r="F24" s="225">
        <f t="shared" si="12"/>
        <v>3769.7643100660621</v>
      </c>
      <c r="G24" s="225">
        <f t="shared" si="12"/>
        <v>2619.5675846307449</v>
      </c>
      <c r="H24" s="225">
        <f t="shared" si="12"/>
        <v>1466.2172370752901</v>
      </c>
      <c r="I24" s="225">
        <f>I12+I16+I23</f>
        <v>2403.7294195514223</v>
      </c>
      <c r="J24" s="225">
        <f t="shared" si="12"/>
        <v>0</v>
      </c>
      <c r="L24" s="224" t="s">
        <v>61</v>
      </c>
      <c r="M24" s="225">
        <f t="shared" ref="M24:T24" si="13">M12+M16+M23</f>
        <v>65.250239596894744</v>
      </c>
      <c r="N24" s="225">
        <f t="shared" si="13"/>
        <v>65.555337684631581</v>
      </c>
      <c r="O24" s="225">
        <f t="shared" si="13"/>
        <v>80.542206550736864</v>
      </c>
      <c r="P24" s="225">
        <f t="shared" si="13"/>
        <v>82.820806926789459</v>
      </c>
      <c r="Q24" s="225">
        <f t="shared" si="13"/>
        <v>90.77710927027951</v>
      </c>
      <c r="R24" s="225">
        <f t="shared" si="13"/>
        <v>45.858908532639752</v>
      </c>
      <c r="S24" s="225">
        <f t="shared" si="13"/>
        <v>0</v>
      </c>
      <c r="T24" s="225">
        <f t="shared" si="13"/>
        <v>0</v>
      </c>
    </row>
    <row r="25" spans="1:20" ht="15" customHeight="1" thickTop="1" x14ac:dyDescent="0.3">
      <c r="E25" s="273"/>
      <c r="F25" s="273"/>
      <c r="G25" s="273"/>
    </row>
    <row r="26" spans="1:20" ht="15" customHeight="1" thickBot="1" x14ac:dyDescent="0.35">
      <c r="G26" s="273"/>
      <c r="L26" s="286">
        <f>100%-G30</f>
        <v>0.89283483978485578</v>
      </c>
    </row>
    <row r="27" spans="1:20" ht="21.75" customHeight="1" thickTop="1" thickBot="1" x14ac:dyDescent="0.35">
      <c r="A27" s="1"/>
      <c r="B27" s="342" t="s">
        <v>62</v>
      </c>
      <c r="C27" s="343"/>
      <c r="D27" s="343"/>
      <c r="E27" s="343"/>
      <c r="F27" s="343"/>
      <c r="G27" s="343"/>
      <c r="H27" s="343"/>
      <c r="I27" s="343"/>
      <c r="J27" s="343"/>
      <c r="K27" s="1"/>
    </row>
    <row r="28" spans="1:20" ht="15.9" customHeight="1" thickTop="1" thickBot="1" x14ac:dyDescent="0.35">
      <c r="A28" s="1"/>
      <c r="B28" s="77"/>
      <c r="C28" s="69">
        <f>'Input keuzevariabelen'!$D$4</f>
        <v>2019</v>
      </c>
      <c r="D28" s="78">
        <f>+C28+1</f>
        <v>2020</v>
      </c>
      <c r="E28" s="78">
        <f t="shared" ref="E28:H28" si="14">+D28+1</f>
        <v>2021</v>
      </c>
      <c r="F28" s="78">
        <f t="shared" si="14"/>
        <v>2022</v>
      </c>
      <c r="G28" s="78">
        <f t="shared" si="14"/>
        <v>2023</v>
      </c>
      <c r="H28" s="78">
        <f t="shared" si="14"/>
        <v>2024</v>
      </c>
      <c r="I28" s="78">
        <f t="shared" ref="I28" si="15">+H28+1</f>
        <v>2025</v>
      </c>
      <c r="J28" s="78">
        <f t="shared" ref="J28" si="16">+I28+1</f>
        <v>2026</v>
      </c>
      <c r="K28" s="1"/>
    </row>
    <row r="29" spans="1:20" ht="23.1" customHeight="1" thickTop="1" thickBot="1" x14ac:dyDescent="0.35">
      <c r="A29" s="1"/>
      <c r="B29" s="226"/>
      <c r="C29" s="222" t="s">
        <v>10</v>
      </c>
      <c r="D29" s="222" t="s">
        <v>10</v>
      </c>
      <c r="E29" s="222" t="s">
        <v>10</v>
      </c>
      <c r="F29" s="222" t="s">
        <v>10</v>
      </c>
      <c r="G29" s="222" t="s">
        <v>10</v>
      </c>
      <c r="H29" s="222" t="s">
        <v>10</v>
      </c>
      <c r="I29" s="222" t="s">
        <v>10</v>
      </c>
      <c r="J29" s="222" t="s">
        <v>10</v>
      </c>
      <c r="K29" s="1"/>
    </row>
    <row r="30" spans="1:20" ht="15.75" customHeight="1" thickBot="1" x14ac:dyDescent="0.35">
      <c r="A30" s="1"/>
      <c r="B30" s="87" t="s">
        <v>63</v>
      </c>
      <c r="C30" s="83">
        <f>C24/$C$24</f>
        <v>1</v>
      </c>
      <c r="D30" s="83">
        <f t="shared" ref="D30:F30" si="17">D24/$C$24</f>
        <v>1.1840685519529264</v>
      </c>
      <c r="E30" s="83">
        <f t="shared" si="17"/>
        <v>0.17392258657817256</v>
      </c>
      <c r="F30" s="83">
        <f t="shared" si="17"/>
        <v>0.15421911564022822</v>
      </c>
      <c r="G30" s="295">
        <f>G24/$C$24</f>
        <v>0.10716516021514422</v>
      </c>
      <c r="H30" s="297" t="e">
        <f>H24/I41</f>
        <v>#DIV/0!</v>
      </c>
      <c r="I30" s="295">
        <f>I24/$C$24</f>
        <v>9.8335332087411909E-2</v>
      </c>
      <c r="J30" s="83"/>
      <c r="K30" s="1"/>
    </row>
    <row r="31" spans="1:20" ht="15.75" customHeight="1" x14ac:dyDescent="0.3">
      <c r="A31" s="1"/>
      <c r="B31" s="129" t="s">
        <v>64</v>
      </c>
      <c r="C31" s="230">
        <v>1</v>
      </c>
      <c r="D31" s="230">
        <v>1</v>
      </c>
      <c r="E31" s="298">
        <v>0.8</v>
      </c>
      <c r="F31" s="298">
        <v>0.84</v>
      </c>
      <c r="G31" s="298">
        <v>0.89</v>
      </c>
      <c r="H31" s="298">
        <v>0.9</v>
      </c>
      <c r="I31" s="298">
        <f>100%-I30</f>
        <v>0.90166466791258815</v>
      </c>
      <c r="J31" s="231">
        <f t="shared" ref="J31" si="18">I31-(7%/5)</f>
        <v>0.88766466791258813</v>
      </c>
      <c r="K31" s="1"/>
    </row>
    <row r="32" spans="1:20" ht="15.75" hidden="1" customHeight="1" thickBot="1" x14ac:dyDescent="0.35">
      <c r="A32" s="213" t="s">
        <v>65</v>
      </c>
      <c r="B32" s="130" t="str">
        <f>'Input keuzevariabelen'!$F$4</f>
        <v>Hoeveelheid verpompt afvalwater</v>
      </c>
      <c r="C32" s="131">
        <f>SUMIFS(Data!$H:$H,Data!$G:$G,$B32,Data!$D:$D,C$28,Data!$E:$E,C$29)</f>
        <v>146610.367</v>
      </c>
      <c r="D32" s="131">
        <f>SUMIFS(Data!$H:$H,Data!$G:$G,$B32,Data!$D:$D,D$28,Data!$E:$E,D$29)</f>
        <v>153871.84</v>
      </c>
      <c r="E32" s="131">
        <f>SUMIFS(Data!$H:$H,Data!$G:$G,$B32,Data!$D:$D,E$28,Data!$E:$E,E$29)</f>
        <v>150456.43</v>
      </c>
      <c r="F32" s="131">
        <f>SUMIFS(Data!$H:$H,Data!$G:$G,$B32,Data!$D:$D,F$28,Data!$E:$E,F$29)</f>
        <v>130853.378</v>
      </c>
      <c r="G32" s="131">
        <f>SUMIFS(Data!$H:$H,Data!$G:$G,$B32,Data!$D:$D,G$28,Data!$E:$E,G$29)</f>
        <v>156292</v>
      </c>
      <c r="H32" s="131">
        <f>SUMIFS(Data!$H:$H,Data!$G:$G,$B32,Data!$D:$D,H$28,Data!$E:$E,H$29)</f>
        <v>0</v>
      </c>
      <c r="I32" s="131">
        <f>SUMIFS(Data!$H:$H,Data!$G:$G,$B32,Data!$D:$D,I$28,Data!$E:$E,I$29)</f>
        <v>0</v>
      </c>
      <c r="J32" s="131">
        <f>SUMIFS(Data!$H:$H,Data!$G:$G,$B32,Data!$D:$D,J$28,Data!$E:$E,J$29)</f>
        <v>0</v>
      </c>
      <c r="K32" s="1"/>
    </row>
    <row r="33" spans="1:11" ht="15.75" hidden="1" customHeight="1" thickBot="1" x14ac:dyDescent="0.35">
      <c r="A33" s="1"/>
      <c r="B33" s="87" t="s">
        <v>66</v>
      </c>
      <c r="C33" s="214">
        <f>C24/C32</f>
        <v>0.16672906289705211</v>
      </c>
      <c r="D33" s="214">
        <f t="shared" ref="D33:J33" si="19">D24/D32</f>
        <v>0.18810211974940075</v>
      </c>
      <c r="E33" s="214">
        <f t="shared" si="19"/>
        <v>2.8256685830487516E-2</v>
      </c>
      <c r="F33" s="232">
        <f t="shared" si="19"/>
        <v>2.8809071402543861E-2</v>
      </c>
      <c r="G33" s="271">
        <f t="shared" si="19"/>
        <v>1.6760727258149775E-2</v>
      </c>
      <c r="H33" s="81" t="e">
        <f t="shared" si="19"/>
        <v>#DIV/0!</v>
      </c>
      <c r="I33" s="81" t="e">
        <f t="shared" ref="I33" si="20">I24/I32</f>
        <v>#DIV/0!</v>
      </c>
      <c r="J33" s="81" t="e">
        <f t="shared" si="19"/>
        <v>#DIV/0!</v>
      </c>
      <c r="K33" s="1"/>
    </row>
    <row r="34" spans="1:11" ht="15.75" hidden="1" customHeight="1" x14ac:dyDescent="0.3">
      <c r="A34" s="1"/>
      <c r="B34" s="135" t="s">
        <v>67</v>
      </c>
      <c r="C34" s="136">
        <f>C33/$C$33</f>
        <v>1</v>
      </c>
      <c r="D34" s="136">
        <f t="shared" ref="D34:F34" si="21">D33/$C$33</f>
        <v>1.1281903495465908</v>
      </c>
      <c r="E34" s="136">
        <f t="shared" si="21"/>
        <v>0.16947666675206338</v>
      </c>
      <c r="F34" s="136">
        <f t="shared" si="21"/>
        <v>0.17278973984476959</v>
      </c>
      <c r="G34" s="136">
        <f>G33/$C$33</f>
        <v>0.10052672861538717</v>
      </c>
      <c r="H34" s="136"/>
      <c r="I34" s="136"/>
      <c r="J34" s="136"/>
      <c r="K34" s="1"/>
    </row>
    <row r="35" spans="1:11" ht="15" hidden="1" customHeight="1" x14ac:dyDescent="0.3"/>
    <row r="36" spans="1:11" ht="15" hidden="1" customHeight="1" x14ac:dyDescent="0.3"/>
    <row r="37" spans="1:11" ht="15" customHeight="1" x14ac:dyDescent="0.3">
      <c r="G37" s="299">
        <f>100%-G30</f>
        <v>0.89283483978485578</v>
      </c>
    </row>
    <row r="52" spans="2:20" ht="33.75" hidden="1" customHeight="1" thickTop="1" thickBot="1" x14ac:dyDescent="0.35">
      <c r="B52" s="338" t="s">
        <v>68</v>
      </c>
      <c r="C52" s="339"/>
      <c r="D52" s="339"/>
      <c r="E52" s="339"/>
      <c r="F52" s="339"/>
      <c r="G52" s="339"/>
      <c r="H52" s="339"/>
      <c r="I52" s="339"/>
      <c r="J52" s="339"/>
      <c r="K52" s="18"/>
      <c r="L52" s="338" t="s">
        <v>69</v>
      </c>
      <c r="M52" s="339"/>
      <c r="N52" s="339"/>
      <c r="O52" s="339"/>
      <c r="P52" s="339"/>
      <c r="Q52" s="339"/>
      <c r="R52" s="339"/>
      <c r="S52" s="339"/>
      <c r="T52" s="339"/>
    </row>
    <row r="53" spans="2:20" ht="18.75" hidden="1" customHeight="1" thickTop="1" thickBot="1" x14ac:dyDescent="0.35">
      <c r="B53" s="68"/>
      <c r="C53" s="69">
        <f>'Input keuzevariabelen'!$D$4</f>
        <v>2019</v>
      </c>
      <c r="D53" s="69">
        <f>C53+1</f>
        <v>2020</v>
      </c>
      <c r="E53" s="69">
        <f t="shared" ref="E53:H53" si="22">D53+1</f>
        <v>2021</v>
      </c>
      <c r="F53" s="69">
        <f t="shared" si="22"/>
        <v>2022</v>
      </c>
      <c r="G53" s="69">
        <f t="shared" si="22"/>
        <v>2023</v>
      </c>
      <c r="H53" s="69">
        <f t="shared" si="22"/>
        <v>2024</v>
      </c>
      <c r="I53" s="69">
        <f t="shared" ref="I53" si="23">H53+1</f>
        <v>2025</v>
      </c>
      <c r="J53" s="69">
        <f t="shared" ref="J53" si="24">I53+1</f>
        <v>2026</v>
      </c>
      <c r="L53" s="68"/>
      <c r="M53" s="69">
        <f>'Input keuzevariabelen'!$D$4</f>
        <v>2019</v>
      </c>
      <c r="N53" s="69">
        <f>+M53+1</f>
        <v>2020</v>
      </c>
      <c r="O53" s="69">
        <f t="shared" ref="O53:R53" si="25">+N53+1</f>
        <v>2021</v>
      </c>
      <c r="P53" s="69">
        <f t="shared" si="25"/>
        <v>2022</v>
      </c>
      <c r="Q53" s="69">
        <f t="shared" si="25"/>
        <v>2023</v>
      </c>
      <c r="R53" s="69">
        <f t="shared" si="25"/>
        <v>2024</v>
      </c>
      <c r="S53" s="69">
        <f t="shared" ref="S53" si="26">+R53+1</f>
        <v>2025</v>
      </c>
      <c r="T53" s="69">
        <f t="shared" ref="T53" si="27">+S53+1</f>
        <v>2026</v>
      </c>
    </row>
    <row r="54" spans="2:20" ht="23.25" hidden="1" customHeight="1" thickTop="1" thickBot="1" x14ac:dyDescent="0.35">
      <c r="B54" s="66" t="s">
        <v>13</v>
      </c>
      <c r="C54" s="67" t="s">
        <v>56</v>
      </c>
      <c r="D54" s="67" t="s">
        <v>56</v>
      </c>
      <c r="E54" s="67" t="s">
        <v>56</v>
      </c>
      <c r="F54" s="67" t="s">
        <v>56</v>
      </c>
      <c r="G54" s="67" t="s">
        <v>56</v>
      </c>
      <c r="H54" s="67" t="s">
        <v>56</v>
      </c>
      <c r="I54" s="67" t="s">
        <v>56</v>
      </c>
      <c r="J54" s="67" t="s">
        <v>56</v>
      </c>
      <c r="L54" s="66" t="s">
        <v>13</v>
      </c>
      <c r="M54" s="67" t="s">
        <v>56</v>
      </c>
      <c r="N54" s="67" t="s">
        <v>56</v>
      </c>
      <c r="O54" s="67" t="s">
        <v>56</v>
      </c>
      <c r="P54" s="67" t="s">
        <v>56</v>
      </c>
      <c r="Q54" s="67" t="s">
        <v>56</v>
      </c>
      <c r="R54" s="67" t="s">
        <v>56</v>
      </c>
      <c r="S54" s="67" t="s">
        <v>56</v>
      </c>
      <c r="T54" s="67" t="s">
        <v>56</v>
      </c>
    </row>
    <row r="55" spans="2:20" ht="15.75" hidden="1" customHeight="1" thickTop="1" thickBot="1" x14ac:dyDescent="0.35">
      <c r="B55" s="48" t="s">
        <v>18</v>
      </c>
      <c r="C55" s="72">
        <f>SUMIFS(Data!$M:$M,Data!$G:$G,$B55,Data!$D:$D,C$53,Data!$E:$E,C$54)</f>
        <v>0</v>
      </c>
      <c r="D55" s="72">
        <f>SUMIFS(Data!$M:$M,Data!$G:$G,$B55,Data!$D:$D,D$53,Data!$E:$E,D$54)</f>
        <v>0</v>
      </c>
      <c r="E55" s="72">
        <f>SUMIFS(Data!$M:$M,Data!$G:$G,$B55,Data!$D:$D,E$53,Data!$E:$E,E$54)</f>
        <v>0</v>
      </c>
      <c r="F55" s="72">
        <f>SUMIFS(Data!$M:$M,Data!$G:$G,$B55,Data!$D:$D,F$53,Data!$E:$E,F$54)</f>
        <v>0</v>
      </c>
      <c r="G55" s="72">
        <f>SUMIFS(Data!$M:$M,Data!$G:$G,$B55,Data!$D:$D,G$53,Data!$E:$E,G$54)</f>
        <v>0</v>
      </c>
      <c r="H55" s="72">
        <f>SUMIFS(Data!$M:$M,Data!$G:$G,$B55,Data!$D:$D,H$53,Data!$E:$E,H$54)</f>
        <v>1274.6737476717437</v>
      </c>
      <c r="I55" s="72">
        <f>SUMIFS(Data!$M:$M,Data!$G:$G,$B55,Data!$D:$D,I$53,Data!$E:$E,I$54)</f>
        <v>0</v>
      </c>
      <c r="J55" s="72">
        <f>SUMIFS(Data!$M:$M,Data!$G:$G,$B55,Data!$D:$D,J$53,Data!$E:$E,J$54)</f>
        <v>0</v>
      </c>
      <c r="L55" s="48" t="s">
        <v>18</v>
      </c>
      <c r="M55" s="72">
        <f>SUMIFS(Data!$M:$M,Data!$G:$G,$L55,Data!$D:$D,M$53,Data!$B:$B,$M$4,Data!$E:$E,M$54)</f>
        <v>0</v>
      </c>
      <c r="N55" s="72">
        <f>SUMIFS(Data!$M:$M,Data!$G:$G,$L55,Data!$D:$D,N$53,Data!$B:$B,$M$4,Data!$E:$E,N$54)</f>
        <v>0</v>
      </c>
      <c r="O55" s="72">
        <f>SUMIFS(Data!$M:$M,Data!$G:$G,$L55,Data!$D:$D,O$53,Data!$B:$B,$M$4,Data!$E:$E,O$54)</f>
        <v>0</v>
      </c>
      <c r="P55" s="72">
        <f>SUMIFS(Data!$M:$M,Data!$G:$G,$L55,Data!$D:$D,P$53,Data!$B:$B,$M$4,Data!$E:$E,P$54)</f>
        <v>0</v>
      </c>
      <c r="Q55" s="72">
        <f>SUMIFS(Data!$M:$M,Data!$G:$G,$L55,Data!$D:$D,Q$53,Data!$B:$B,$M$4,Data!$E:$E,Q$54)</f>
        <v>0</v>
      </c>
      <c r="R55" s="72">
        <f>SUMIFS(Data!$M:$M,Data!$G:$G,$L55,Data!$D:$D,R$53,Data!$B:$B,$M$4,Data!$E:$E,R$54)</f>
        <v>15.201033639</v>
      </c>
      <c r="S55" s="72">
        <f>SUMIFS(Data!$M:$M,Data!$G:$G,$L55,Data!$D:$D,S$53,Data!$B:$B,$M$4,Data!$E:$E,S$54)</f>
        <v>0</v>
      </c>
      <c r="T55" s="72">
        <f>SUMIFS(Data!$M:$M,Data!$G:$G,$L55,Data!$D:$D,T$53,Data!$B:$B,$M$4,Data!$E:$E,T$54)</f>
        <v>0</v>
      </c>
    </row>
    <row r="56" spans="2:20" ht="15.75" hidden="1" customHeight="1" thickTop="1" thickBot="1" x14ac:dyDescent="0.35">
      <c r="B56" s="52" t="s">
        <v>70</v>
      </c>
      <c r="C56" s="72">
        <f>SUMIFS(Data!$M:$M,Data!$G:$G,$B56,Data!$D:$D,C$53,Data!$E:$E,C$54)</f>
        <v>0</v>
      </c>
      <c r="D56" s="72">
        <f>SUMIFS(Data!$M:$M,Data!$G:$G,$B56,Data!$D:$D,D$53,Data!$E:$E,D$54)</f>
        <v>0</v>
      </c>
      <c r="E56" s="72">
        <f>SUMIFS(Data!$M:$M,Data!$G:$G,$B56,Data!$D:$D,E$53,Data!$E:$E,E$54)</f>
        <v>0</v>
      </c>
      <c r="F56" s="72">
        <f>SUMIFS(Data!$M:$M,Data!$G:$G,$B56,Data!$D:$D,F$53,Data!$E:$E,F$54)</f>
        <v>0</v>
      </c>
      <c r="G56" s="72">
        <f>SUMIFS(Data!$M:$M,Data!$G:$G,$B56,Data!$D:$D,G$53,Data!$E:$E,G$54)</f>
        <v>0</v>
      </c>
      <c r="H56" s="72">
        <f>SUMIFS(Data!$M:$M,Data!$G:$G,$B56,Data!$D:$D,H$53,Data!$E:$E,H$54)</f>
        <v>0</v>
      </c>
      <c r="I56" s="72">
        <f>SUMIFS(Data!$M:$M,Data!$G:$G,$B56,Data!$D:$D,I$53,Data!$E:$E,I$54)</f>
        <v>0</v>
      </c>
      <c r="J56" s="72">
        <f>SUMIFS(Data!$M:$M,Data!$G:$G,$B56,Data!$D:$D,J$53,Data!$E:$E,J$54)</f>
        <v>0</v>
      </c>
      <c r="L56" s="52" t="s">
        <v>70</v>
      </c>
      <c r="M56" s="72">
        <f>SUMIFS(Data!$M:$M,Data!$G:$G,$L56,Data!$D:$D,M$53,Data!$B:$B,$M$4,Data!$E:$E,M$54)</f>
        <v>0</v>
      </c>
      <c r="N56" s="72">
        <f>SUMIFS(Data!$M:$M,Data!$G:$G,$L56,Data!$D:$D,N$53,Data!$B:$B,$M$4,Data!$E:$E,N$54)</f>
        <v>0</v>
      </c>
      <c r="O56" s="72">
        <f>SUMIFS(Data!$M:$M,Data!$G:$G,$L56,Data!$D:$D,O$53,Data!$B:$B,$M$4,Data!$E:$E,O$54)</f>
        <v>0</v>
      </c>
      <c r="P56" s="72">
        <f>SUMIFS(Data!$M:$M,Data!$G:$G,$L56,Data!$D:$D,P$53,Data!$B:$B,$M$4,Data!$E:$E,P$54)</f>
        <v>0</v>
      </c>
      <c r="Q56" s="72">
        <f>SUMIFS(Data!$M:$M,Data!$G:$G,$L56,Data!$D:$D,Q$53,Data!$B:$B,$M$4,Data!$E:$E,Q$54)</f>
        <v>0</v>
      </c>
      <c r="R56" s="72">
        <f>SUMIFS(Data!$M:$M,Data!$G:$G,$L56,Data!$D:$D,R$53,Data!$B:$B,$M$4,Data!$E:$E,R$54)</f>
        <v>0</v>
      </c>
      <c r="S56" s="72">
        <f>SUMIFS(Data!$M:$M,Data!$G:$G,$L56,Data!$D:$D,S$53,Data!$B:$B,$M$4,Data!$E:$E,S$54)</f>
        <v>0</v>
      </c>
      <c r="T56" s="72">
        <f>SUMIFS(Data!$M:$M,Data!$G:$G,$L56,Data!$D:$D,T$53,Data!$B:$B,$M$4,Data!$E:$E,T$54)</f>
        <v>0</v>
      </c>
    </row>
    <row r="57" spans="2:20" ht="15.75" hidden="1" customHeight="1" thickTop="1" thickBot="1" x14ac:dyDescent="0.35">
      <c r="B57" s="52" t="s">
        <v>71</v>
      </c>
      <c r="C57" s="72">
        <f>SUMIFS(Data!$M:$M,Data!$G:$G,$B57,Data!$D:$D,C$53,Data!$E:$E,C$54)</f>
        <v>0</v>
      </c>
      <c r="D57" s="72">
        <f>SUMIFS(Data!$M:$M,Data!$G:$G,$B57,Data!$D:$D,D$53,Data!$E:$E,D$54)</f>
        <v>0</v>
      </c>
      <c r="E57" s="72">
        <f>SUMIFS(Data!$M:$M,Data!$G:$G,$B57,Data!$D:$D,E$53,Data!$E:$E,E$54)</f>
        <v>0</v>
      </c>
      <c r="F57" s="72">
        <f>SUMIFS(Data!$M:$M,Data!$G:$G,$B57,Data!$D:$D,F$53,Data!$E:$E,F$54)</f>
        <v>0</v>
      </c>
      <c r="G57" s="72">
        <f>SUMIFS(Data!$M:$M,Data!$G:$G,$B57,Data!$D:$D,G$53,Data!$E:$E,G$54)</f>
        <v>0</v>
      </c>
      <c r="H57" s="72">
        <f>SUMIFS(Data!$M:$M,Data!$G:$G,$B57,Data!$D:$D,H$53,Data!$E:$E,H$54)</f>
        <v>0</v>
      </c>
      <c r="I57" s="72">
        <f>SUMIFS(Data!$M:$M,Data!$G:$G,$B57,Data!$D:$D,I$53,Data!$E:$E,I$54)</f>
        <v>0</v>
      </c>
      <c r="J57" s="72">
        <f>SUMIFS(Data!$M:$M,Data!$G:$G,$B57,Data!$D:$D,J$53,Data!$E:$E,J$54)</f>
        <v>0</v>
      </c>
      <c r="L57" s="52" t="s">
        <v>71</v>
      </c>
      <c r="M57" s="72">
        <f>SUMIFS(Data!$M:$M,Data!$G:$G,$L57,Data!$D:$D,M$53,Data!$B:$B,$M$4,Data!$E:$E,M$54)</f>
        <v>0</v>
      </c>
      <c r="N57" s="72">
        <f>SUMIFS(Data!$M:$M,Data!$G:$G,$L57,Data!$D:$D,N$53,Data!$B:$B,$M$4,Data!$E:$E,N$54)</f>
        <v>0</v>
      </c>
      <c r="O57" s="72">
        <f>SUMIFS(Data!$M:$M,Data!$G:$G,$L57,Data!$D:$D,O$53,Data!$B:$B,$M$4,Data!$E:$E,O$54)</f>
        <v>0</v>
      </c>
      <c r="P57" s="72">
        <f>SUMIFS(Data!$M:$M,Data!$G:$G,$L57,Data!$D:$D,P$53,Data!$B:$B,$M$4,Data!$E:$E,P$54)</f>
        <v>0</v>
      </c>
      <c r="Q57" s="72">
        <f>SUMIFS(Data!$M:$M,Data!$G:$G,$L57,Data!$D:$D,Q$53,Data!$B:$B,$M$4,Data!$E:$E,Q$54)</f>
        <v>0</v>
      </c>
      <c r="R57" s="72">
        <f>SUMIFS(Data!$M:$M,Data!$G:$G,$L57,Data!$D:$D,R$53,Data!$B:$B,$M$4,Data!$E:$E,R$54)</f>
        <v>0</v>
      </c>
      <c r="S57" s="72">
        <f>SUMIFS(Data!$M:$M,Data!$G:$G,$L57,Data!$D:$D,S$53,Data!$B:$B,$M$4,Data!$E:$E,S$54)</f>
        <v>0</v>
      </c>
      <c r="T57" s="72">
        <f>SUMIFS(Data!$M:$M,Data!$G:$G,$L57,Data!$D:$D,T$53,Data!$B:$B,$M$4,Data!$E:$E,T$54)</f>
        <v>0</v>
      </c>
    </row>
    <row r="58" spans="2:20" ht="15.75" hidden="1" customHeight="1" thickTop="1" thickBot="1" x14ac:dyDescent="0.35">
      <c r="B58" s="52" t="s">
        <v>72</v>
      </c>
      <c r="C58" s="72">
        <f>SUMIFS(Data!$M:$M,Data!$G:$G,$B58,Data!$D:$D,C$53,Data!$E:$E,C$54)</f>
        <v>0</v>
      </c>
      <c r="D58" s="72">
        <f>SUMIFS(Data!$M:$M,Data!$G:$G,$B58,Data!$D:$D,D$53,Data!$E:$E,D$54)</f>
        <v>0</v>
      </c>
      <c r="E58" s="72">
        <f>SUMIFS(Data!$M:$M,Data!$G:$G,$B58,Data!$D:$D,E$53,Data!$E:$E,E$54)</f>
        <v>0</v>
      </c>
      <c r="F58" s="72">
        <f>SUMIFS(Data!$M:$M,Data!$G:$G,$B58,Data!$D:$D,F$53,Data!$E:$E,F$54)</f>
        <v>0</v>
      </c>
      <c r="G58" s="72">
        <f>SUMIFS(Data!$M:$M,Data!$G:$G,$B58,Data!$D:$D,G$53,Data!$E:$E,G$54)</f>
        <v>0</v>
      </c>
      <c r="H58" s="72">
        <f>SUMIFS(Data!$M:$M,Data!$G:$G,$B58,Data!$D:$D,H$53,Data!$E:$E,H$54)</f>
        <v>0</v>
      </c>
      <c r="I58" s="72">
        <f>SUMIFS(Data!$M:$M,Data!$G:$G,$B58,Data!$D:$D,I$53,Data!$E:$E,I$54)</f>
        <v>0</v>
      </c>
      <c r="J58" s="72">
        <f>SUMIFS(Data!$M:$M,Data!$G:$G,$B58,Data!$D:$D,J$53,Data!$E:$E,J$54)</f>
        <v>0</v>
      </c>
      <c r="L58" s="52" t="s">
        <v>72</v>
      </c>
      <c r="M58" s="72">
        <f>SUMIFS(Data!$M:$M,Data!$G:$G,$L58,Data!$D:$D,M$53,Data!$B:$B,$M$4,Data!$E:$E,M$54)</f>
        <v>0</v>
      </c>
      <c r="N58" s="72">
        <f>SUMIFS(Data!$M:$M,Data!$G:$G,$L58,Data!$D:$D,N$53,Data!$B:$B,$M$4,Data!$E:$E,N$54)</f>
        <v>0</v>
      </c>
      <c r="O58" s="72">
        <f>SUMIFS(Data!$M:$M,Data!$G:$G,$L58,Data!$D:$D,O$53,Data!$B:$B,$M$4,Data!$E:$E,O$54)</f>
        <v>0</v>
      </c>
      <c r="P58" s="72">
        <f>SUMIFS(Data!$M:$M,Data!$G:$G,$L58,Data!$D:$D,P$53,Data!$B:$B,$M$4,Data!$E:$E,P$54)</f>
        <v>0</v>
      </c>
      <c r="Q58" s="72">
        <f>SUMIFS(Data!$M:$M,Data!$G:$G,$L58,Data!$D:$D,Q$53,Data!$B:$B,$M$4,Data!$E:$E,Q$54)</f>
        <v>0</v>
      </c>
      <c r="R58" s="72">
        <f>SUMIFS(Data!$M:$M,Data!$G:$G,$L58,Data!$D:$D,R$53,Data!$B:$B,$M$4,Data!$E:$E,R$54)</f>
        <v>0</v>
      </c>
      <c r="S58" s="72">
        <f>SUMIFS(Data!$M:$M,Data!$G:$G,$L58,Data!$D:$D,S$53,Data!$B:$B,$M$4,Data!$E:$E,S$54)</f>
        <v>0</v>
      </c>
      <c r="T58" s="72">
        <f>SUMIFS(Data!$M:$M,Data!$G:$G,$L58,Data!$D:$D,T$53,Data!$B:$B,$M$4,Data!$E:$E,T$54)</f>
        <v>0</v>
      </c>
    </row>
    <row r="59" spans="2:20" ht="15.75" hidden="1" customHeight="1" thickTop="1" thickBot="1" x14ac:dyDescent="0.35">
      <c r="B59" s="52" t="s">
        <v>73</v>
      </c>
      <c r="C59" s="72">
        <f>SUMIFS(Data!$M:$M,Data!$G:$G,$B59,Data!$D:$D,C$53,Data!$E:$E,C$54)</f>
        <v>0</v>
      </c>
      <c r="D59" s="72">
        <f>SUMIFS(Data!$M:$M,Data!$G:$G,$B59,Data!$D:$D,D$53,Data!$E:$E,D$54)</f>
        <v>0</v>
      </c>
      <c r="E59" s="72">
        <f>SUMIFS(Data!$M:$M,Data!$G:$G,$B59,Data!$D:$D,E$53,Data!$E:$E,E$54)</f>
        <v>0</v>
      </c>
      <c r="F59" s="72">
        <f>SUMIFS(Data!$M:$M,Data!$G:$G,$B59,Data!$D:$D,F$53,Data!$E:$E,F$54)</f>
        <v>0</v>
      </c>
      <c r="G59" s="72">
        <f>SUMIFS(Data!$M:$M,Data!$G:$G,$B59,Data!$D:$D,G$53,Data!$E:$E,G$54)</f>
        <v>0</v>
      </c>
      <c r="H59" s="72">
        <f>SUMIFS(Data!$M:$M,Data!$G:$G,$B59,Data!$D:$D,H$53,Data!$E:$E,H$54)</f>
        <v>0</v>
      </c>
      <c r="I59" s="72">
        <f>SUMIFS(Data!$M:$M,Data!$G:$G,$B59,Data!$D:$D,I$53,Data!$E:$E,I$54)</f>
        <v>0</v>
      </c>
      <c r="J59" s="72">
        <f>SUMIFS(Data!$M:$M,Data!$G:$G,$B59,Data!$D:$D,J$53,Data!$E:$E,J$54)</f>
        <v>0</v>
      </c>
      <c r="L59" s="52" t="s">
        <v>73</v>
      </c>
      <c r="M59" s="72">
        <f>SUMIFS(Data!$M:$M,Data!$G:$G,$L59,Data!$D:$D,M$53,Data!$B:$B,$M$4,Data!$E:$E,M$54)</f>
        <v>0</v>
      </c>
      <c r="N59" s="72">
        <f>SUMIFS(Data!$M:$M,Data!$G:$G,$L59,Data!$D:$D,N$53,Data!$B:$B,$M$4,Data!$E:$E,N$54)</f>
        <v>0</v>
      </c>
      <c r="O59" s="72">
        <f>SUMIFS(Data!$M:$M,Data!$G:$G,$L59,Data!$D:$D,O$53,Data!$B:$B,$M$4,Data!$E:$E,O$54)</f>
        <v>0</v>
      </c>
      <c r="P59" s="72">
        <f>SUMIFS(Data!$M:$M,Data!$G:$G,$L59,Data!$D:$D,P$53,Data!$B:$B,$M$4,Data!$E:$E,P$54)</f>
        <v>0</v>
      </c>
      <c r="Q59" s="72">
        <f>SUMIFS(Data!$M:$M,Data!$G:$G,$L59,Data!$D:$D,Q$53,Data!$B:$B,$M$4,Data!$E:$E,Q$54)</f>
        <v>0</v>
      </c>
      <c r="R59" s="72">
        <f>SUMIFS(Data!$M:$M,Data!$G:$G,$L59,Data!$D:$D,R$53,Data!$B:$B,$M$4,Data!$E:$E,R$54)</f>
        <v>0</v>
      </c>
      <c r="S59" s="72">
        <f>SUMIFS(Data!$M:$M,Data!$G:$G,$L59,Data!$D:$D,S$53,Data!$B:$B,$M$4,Data!$E:$E,S$54)</f>
        <v>0</v>
      </c>
      <c r="T59" s="72">
        <f>SUMIFS(Data!$M:$M,Data!$G:$G,$L59,Data!$D:$D,T$53,Data!$B:$B,$M$4,Data!$E:$E,T$54)</f>
        <v>0</v>
      </c>
    </row>
    <row r="60" spans="2:20" ht="15.75" hidden="1" customHeight="1" thickTop="1" thickBot="1" x14ac:dyDescent="0.35">
      <c r="B60" s="52" t="s">
        <v>74</v>
      </c>
      <c r="C60" s="72">
        <f>SUMIFS(Data!$M:$M,Data!$G:$G,$B60,Data!$D:$D,C$53,Data!$E:$E,C$54)</f>
        <v>0</v>
      </c>
      <c r="D60" s="72">
        <f>SUMIFS(Data!$M:$M,Data!$G:$G,$B60,Data!$D:$D,D$53,Data!$E:$E,D$54)</f>
        <v>0</v>
      </c>
      <c r="E60" s="72">
        <f>SUMIFS(Data!$M:$M,Data!$G:$G,$B60,Data!$D:$D,E$53,Data!$E:$E,E$54)</f>
        <v>0</v>
      </c>
      <c r="F60" s="72">
        <f>SUMIFS(Data!$M:$M,Data!$G:$G,$B60,Data!$D:$D,F$53,Data!$E:$E,F$54)</f>
        <v>0</v>
      </c>
      <c r="G60" s="72">
        <f>SUMIFS(Data!$M:$M,Data!$G:$G,$B60,Data!$D:$D,G$53,Data!$E:$E,G$54)</f>
        <v>0</v>
      </c>
      <c r="H60" s="72">
        <f>SUMIFS(Data!$M:$M,Data!$G:$G,$B60,Data!$D:$D,H$53,Data!$E:$E,H$54)</f>
        <v>0</v>
      </c>
      <c r="I60" s="72">
        <f>SUMIFS(Data!$M:$M,Data!$G:$G,$B60,Data!$D:$D,I$53,Data!$E:$E,I$54)</f>
        <v>0</v>
      </c>
      <c r="J60" s="72">
        <f>SUMIFS(Data!$M:$M,Data!$G:$G,$B60,Data!$D:$D,J$53,Data!$E:$E,J$54)</f>
        <v>0</v>
      </c>
      <c r="L60" s="52" t="s">
        <v>74</v>
      </c>
      <c r="M60" s="72">
        <f>SUMIFS(Data!$M:$M,Data!$G:$G,$L60,Data!$D:$D,M$53,Data!$B:$B,$M$4,Data!$E:$E,M$54)</f>
        <v>0</v>
      </c>
      <c r="N60" s="72">
        <f>SUMIFS(Data!$M:$M,Data!$G:$G,$L60,Data!$D:$D,N$53,Data!$B:$B,$M$4,Data!$E:$E,N$54)</f>
        <v>0</v>
      </c>
      <c r="O60" s="72">
        <f>SUMIFS(Data!$M:$M,Data!$G:$G,$L60,Data!$D:$D,O$53,Data!$B:$B,$M$4,Data!$E:$E,O$54)</f>
        <v>0</v>
      </c>
      <c r="P60" s="72">
        <f>SUMIFS(Data!$M:$M,Data!$G:$G,$L60,Data!$D:$D,P$53,Data!$B:$B,$M$4,Data!$E:$E,P$54)</f>
        <v>0</v>
      </c>
      <c r="Q60" s="72">
        <f>SUMIFS(Data!$M:$M,Data!$G:$G,$L60,Data!$D:$D,Q$53,Data!$B:$B,$M$4,Data!$E:$E,Q$54)</f>
        <v>0</v>
      </c>
      <c r="R60" s="72">
        <f>SUMIFS(Data!$M:$M,Data!$G:$G,$L60,Data!$D:$D,R$53,Data!$B:$B,$M$4,Data!$E:$E,R$54)</f>
        <v>0</v>
      </c>
      <c r="S60" s="72">
        <f>SUMIFS(Data!$M:$M,Data!$G:$G,$L60,Data!$D:$D,S$53,Data!$B:$B,$M$4,Data!$E:$E,S$54)</f>
        <v>0</v>
      </c>
      <c r="T60" s="72">
        <f>SUMIFS(Data!$M:$M,Data!$G:$G,$L60,Data!$D:$D,T$53,Data!$B:$B,$M$4,Data!$E:$E,T$54)</f>
        <v>0</v>
      </c>
    </row>
    <row r="61" spans="2:20" ht="15.75" hidden="1" customHeight="1" thickTop="1" thickBot="1" x14ac:dyDescent="0.35">
      <c r="B61" s="52" t="s">
        <v>75</v>
      </c>
      <c r="C61" s="72">
        <f>SUMIFS(Data!$M:$M,Data!$G:$G,$B61,Data!$D:$D,C$53,Data!$E:$E,C$54)</f>
        <v>0</v>
      </c>
      <c r="D61" s="72">
        <f>SUMIFS(Data!$M:$M,Data!$G:$G,$B61,Data!$D:$D,D$53,Data!$E:$E,D$54)</f>
        <v>0</v>
      </c>
      <c r="E61" s="72">
        <f>SUMIFS(Data!$M:$M,Data!$G:$G,$B61,Data!$D:$D,E$53,Data!$E:$E,E$54)</f>
        <v>0</v>
      </c>
      <c r="F61" s="72">
        <f>SUMIFS(Data!$M:$M,Data!$G:$G,$B61,Data!$D:$D,F$53,Data!$E:$E,F$54)</f>
        <v>0</v>
      </c>
      <c r="G61" s="72">
        <f>SUMIFS(Data!$M:$M,Data!$G:$G,$B61,Data!$D:$D,G$53,Data!$E:$E,G$54)</f>
        <v>0</v>
      </c>
      <c r="H61" s="72">
        <f>SUMIFS(Data!$M:$M,Data!$G:$G,$B61,Data!$D:$D,H$53,Data!$E:$E,H$54)</f>
        <v>0</v>
      </c>
      <c r="I61" s="72">
        <f>SUMIFS(Data!$M:$M,Data!$G:$G,$B61,Data!$D:$D,I$53,Data!$E:$E,I$54)</f>
        <v>0</v>
      </c>
      <c r="J61" s="72">
        <f>SUMIFS(Data!$M:$M,Data!$G:$G,$B61,Data!$D:$D,J$53,Data!$E:$E,J$54)</f>
        <v>0</v>
      </c>
      <c r="L61" s="52" t="s">
        <v>75</v>
      </c>
      <c r="M61" s="72">
        <f>SUMIFS(Data!$M:$M,Data!$G:$G,$L61,Data!$D:$D,M$53,Data!$B:$B,$M$4,Data!$E:$E,M$54)</f>
        <v>0</v>
      </c>
      <c r="N61" s="72">
        <f>SUMIFS(Data!$M:$M,Data!$G:$G,$L61,Data!$D:$D,N$53,Data!$B:$B,$M$4,Data!$E:$E,N$54)</f>
        <v>0</v>
      </c>
      <c r="O61" s="72">
        <f>SUMIFS(Data!$M:$M,Data!$G:$G,$L61,Data!$D:$D,O$53,Data!$B:$B,$M$4,Data!$E:$E,O$54)</f>
        <v>0</v>
      </c>
      <c r="P61" s="72">
        <f>SUMIFS(Data!$M:$M,Data!$G:$G,$L61,Data!$D:$D,P$53,Data!$B:$B,$M$4,Data!$E:$E,P$54)</f>
        <v>0</v>
      </c>
      <c r="Q61" s="72">
        <f>SUMIFS(Data!$M:$M,Data!$G:$G,$L61,Data!$D:$D,Q$53,Data!$B:$B,$M$4,Data!$E:$E,Q$54)</f>
        <v>0</v>
      </c>
      <c r="R61" s="72">
        <f>SUMIFS(Data!$M:$M,Data!$G:$G,$L61,Data!$D:$D,R$53,Data!$B:$B,$M$4,Data!$E:$E,R$54)</f>
        <v>0</v>
      </c>
      <c r="S61" s="72">
        <f>SUMIFS(Data!$M:$M,Data!$G:$G,$L61,Data!$D:$D,S$53,Data!$B:$B,$M$4,Data!$E:$E,S$54)</f>
        <v>0</v>
      </c>
      <c r="T61" s="72">
        <f>SUMIFS(Data!$M:$M,Data!$G:$G,$L61,Data!$D:$D,T$53,Data!$B:$B,$M$4,Data!$E:$E,T$54)</f>
        <v>0</v>
      </c>
    </row>
    <row r="62" spans="2:20" ht="15.75" hidden="1" customHeight="1" thickTop="1" thickBot="1" x14ac:dyDescent="0.35">
      <c r="B62" s="70" t="s">
        <v>58</v>
      </c>
      <c r="C62" s="71">
        <f t="shared" ref="C62:J62" si="28">SUM(C55:C61)</f>
        <v>0</v>
      </c>
      <c r="D62" s="71">
        <f t="shared" si="28"/>
        <v>0</v>
      </c>
      <c r="E62" s="71">
        <f t="shared" si="28"/>
        <v>0</v>
      </c>
      <c r="F62" s="71">
        <f t="shared" si="28"/>
        <v>0</v>
      </c>
      <c r="G62" s="71">
        <f t="shared" si="28"/>
        <v>0</v>
      </c>
      <c r="H62" s="71">
        <f t="shared" si="28"/>
        <v>1274.6737476717437</v>
      </c>
      <c r="I62" s="71">
        <f t="shared" si="28"/>
        <v>0</v>
      </c>
      <c r="J62" s="71">
        <f t="shared" si="28"/>
        <v>0</v>
      </c>
      <c r="L62" s="70" t="s">
        <v>58</v>
      </c>
      <c r="M62" s="71">
        <f t="shared" ref="M62:T62" si="29">SUM(M55:M61)</f>
        <v>0</v>
      </c>
      <c r="N62" s="71">
        <f t="shared" si="29"/>
        <v>0</v>
      </c>
      <c r="O62" s="71">
        <f t="shared" si="29"/>
        <v>0</v>
      </c>
      <c r="P62" s="71">
        <f t="shared" si="29"/>
        <v>0</v>
      </c>
      <c r="Q62" s="71">
        <f t="shared" si="29"/>
        <v>0</v>
      </c>
      <c r="R62" s="71">
        <f t="shared" si="29"/>
        <v>15.201033639</v>
      </c>
      <c r="S62" s="71">
        <f t="shared" si="29"/>
        <v>0</v>
      </c>
      <c r="T62" s="71">
        <f t="shared" si="29"/>
        <v>0</v>
      </c>
    </row>
    <row r="63" spans="2:20" ht="15.75" hidden="1" customHeight="1" thickTop="1" thickBot="1" x14ac:dyDescent="0.35">
      <c r="B63" s="66" t="s">
        <v>24</v>
      </c>
      <c r="C63" s="67"/>
      <c r="D63" s="67"/>
      <c r="E63" s="67"/>
      <c r="F63" s="67"/>
      <c r="G63" s="67"/>
      <c r="H63" s="67"/>
      <c r="I63" s="67"/>
      <c r="J63" s="67"/>
      <c r="L63" s="66" t="s">
        <v>24</v>
      </c>
      <c r="M63" s="67"/>
      <c r="N63" s="67"/>
      <c r="O63" s="67"/>
      <c r="P63" s="67"/>
      <c r="Q63" s="67"/>
      <c r="R63" s="67"/>
      <c r="S63" s="67"/>
      <c r="T63" s="67"/>
    </row>
    <row r="64" spans="2:20" ht="15.75" hidden="1" customHeight="1" thickTop="1" thickBot="1" x14ac:dyDescent="0.35">
      <c r="B64" s="58" t="s">
        <v>25</v>
      </c>
      <c r="C64" s="72">
        <f>SUMIFS(Data!$M:$M,Data!$G:$G,$B64,Data!$D:$D,C$53,Data!$E:$E,C$54)</f>
        <v>0</v>
      </c>
      <c r="D64" s="72">
        <f>SUMIFS(Data!$M:$M,Data!$G:$G,$B64,Data!$D:$D,D$53,Data!$E:$E,D$54)</f>
        <v>0</v>
      </c>
      <c r="E64" s="72">
        <f>SUMIFS(Data!$M:$M,Data!$G:$G,$B64,Data!$D:$D,E$53,Data!$E:$E,E$54)</f>
        <v>0</v>
      </c>
      <c r="F64" s="72">
        <f>SUMIFS(Data!$M:$M,Data!$G:$G,$B64,Data!$D:$D,F$53,Data!$E:$E,F$54)</f>
        <v>0</v>
      </c>
      <c r="G64" s="72">
        <f>SUMIFS(Data!$M:$M,Data!$G:$G,$B64,Data!$D:$D,G$53,Data!$E:$E,G$54)</f>
        <v>0</v>
      </c>
      <c r="H64" s="72">
        <f>SUMIFS(Data!$M:$M,Data!$G:$G,$B64,Data!$D:$D,H$53,Data!$E:$E,H$54)</f>
        <v>20.015557607335182</v>
      </c>
      <c r="I64" s="72">
        <f>SUMIFS(Data!$M:$M,Data!$G:$G,$B64,Data!$D:$D,I$53,Data!$E:$E,I$54)</f>
        <v>0</v>
      </c>
      <c r="J64" s="72">
        <f>SUMIFS(Data!$M:$M,Data!$G:$G,$B64,Data!$D:$D,J$53,Data!$E:$E,J$54)</f>
        <v>0</v>
      </c>
      <c r="L64" s="58" t="s">
        <v>25</v>
      </c>
      <c r="M64" s="72">
        <f>SUMIFS(Data!$M:$M,Data!$G:$G,$L64,Data!$D:$D,M$53,Data!$B:$B,$M$4,Data!$E:$E,M$54)</f>
        <v>0</v>
      </c>
      <c r="N64" s="72">
        <f>SUMIFS(Data!$M:$M,Data!$G:$G,$L64,Data!$D:$D,N$53,Data!$B:$B,$M$4,Data!$E:$E,N$54)</f>
        <v>0</v>
      </c>
      <c r="O64" s="72">
        <f>SUMIFS(Data!$M:$M,Data!$G:$G,$L64,Data!$D:$D,O$53,Data!$B:$B,$M$4,Data!$E:$E,O$54)</f>
        <v>0</v>
      </c>
      <c r="P64" s="72">
        <f>SUMIFS(Data!$M:$M,Data!$G:$G,$L64,Data!$D:$D,P$53,Data!$B:$B,$M$4,Data!$E:$E,P$54)</f>
        <v>0</v>
      </c>
      <c r="Q64" s="72">
        <f>SUMIFS(Data!$M:$M,Data!$G:$G,$L64,Data!$D:$D,Q$53,Data!$B:$B,$M$4,Data!$E:$E,Q$54)</f>
        <v>0</v>
      </c>
      <c r="R64" s="72">
        <f>SUMIFS(Data!$M:$M,Data!$G:$G,$L64,Data!$D:$D,R$53,Data!$B:$B,$M$4,Data!$E:$E,R$54)</f>
        <v>0</v>
      </c>
      <c r="S64" s="72">
        <f>SUMIFS(Data!$M:$M,Data!$G:$G,$L64,Data!$D:$D,S$53,Data!$B:$B,$M$4,Data!$E:$E,S$54)</f>
        <v>0</v>
      </c>
      <c r="T64" s="72">
        <f>SUMIFS(Data!$M:$M,Data!$G:$G,$L64,Data!$D:$D,T$53,Data!$B:$B,$M$4,Data!$E:$E,T$54)</f>
        <v>0</v>
      </c>
    </row>
    <row r="65" spans="2:20" ht="15.75" hidden="1" customHeight="1" thickTop="1" thickBot="1" x14ac:dyDescent="0.35">
      <c r="B65" s="58" t="s">
        <v>27</v>
      </c>
      <c r="C65" s="72">
        <f>SUMIFS(Data!$M:$M,Data!$G:$G,$B65,Data!$D:$D,C$53,Data!$E:$E,C$54)</f>
        <v>0</v>
      </c>
      <c r="D65" s="72">
        <f>SUMIFS(Data!$M:$M,Data!$G:$G,$B65,Data!$D:$D,D$53,Data!$E:$E,D$54)</f>
        <v>0</v>
      </c>
      <c r="E65" s="72">
        <f>SUMIFS(Data!$M:$M,Data!$G:$G,$B65,Data!$D:$D,E$53,Data!$E:$E,E$54)</f>
        <v>0</v>
      </c>
      <c r="F65" s="72">
        <f>SUMIFS(Data!$M:$M,Data!$G:$G,$B65,Data!$D:$D,F$53,Data!$E:$E,F$54)</f>
        <v>0</v>
      </c>
      <c r="G65" s="72">
        <f>SUMIFS(Data!$M:$M,Data!$G:$G,$B65,Data!$D:$D,G$53,Data!$E:$E,G$54)</f>
        <v>0</v>
      </c>
      <c r="H65" s="72">
        <f>SUMIFS(Data!$M:$M,Data!$G:$G,$B65,Data!$D:$D,H$53,Data!$E:$E,H$54)</f>
        <v>0</v>
      </c>
      <c r="I65" s="72">
        <f>SUMIFS(Data!$M:$M,Data!$G:$G,$B65,Data!$D:$D,I$53,Data!$E:$E,I$54)</f>
        <v>0</v>
      </c>
      <c r="J65" s="72">
        <f>SUMIFS(Data!$M:$M,Data!$G:$G,$B65,Data!$D:$D,J$53,Data!$E:$E,J$54)</f>
        <v>0</v>
      </c>
      <c r="L65" s="58" t="s">
        <v>27</v>
      </c>
      <c r="M65" s="72">
        <f>SUMIFS(Data!$M:$M,Data!$G:$G,$L65,Data!$D:$D,M$53,Data!$B:$B,$M$4,Data!$E:$E,M$54)</f>
        <v>0</v>
      </c>
      <c r="N65" s="72">
        <f>SUMIFS(Data!$M:$M,Data!$G:$G,$L65,Data!$D:$D,N$53,Data!$B:$B,$M$4,Data!$E:$E,N$54)</f>
        <v>0</v>
      </c>
      <c r="O65" s="72">
        <f>SUMIFS(Data!$M:$M,Data!$G:$G,$L65,Data!$D:$D,O$53,Data!$B:$B,$M$4,Data!$E:$E,O$54)</f>
        <v>0</v>
      </c>
      <c r="P65" s="72">
        <f>SUMIFS(Data!$M:$M,Data!$G:$G,$L65,Data!$D:$D,P$53,Data!$B:$B,$M$4,Data!$E:$E,P$54)</f>
        <v>0</v>
      </c>
      <c r="Q65" s="72">
        <f>SUMIFS(Data!$M:$M,Data!$G:$G,$L65,Data!$D:$D,Q$53,Data!$B:$B,$M$4,Data!$E:$E,Q$54)</f>
        <v>0</v>
      </c>
      <c r="R65" s="72">
        <f>SUMIFS(Data!$M:$M,Data!$G:$G,$L65,Data!$D:$D,R$53,Data!$B:$B,$M$4,Data!$E:$E,R$54)</f>
        <v>0</v>
      </c>
      <c r="S65" s="72">
        <f>SUMIFS(Data!$M:$M,Data!$G:$G,$L65,Data!$D:$D,S$53,Data!$B:$B,$M$4,Data!$E:$E,S$54)</f>
        <v>0</v>
      </c>
      <c r="T65" s="72">
        <f>SUMIFS(Data!$M:$M,Data!$G:$G,$L65,Data!$D:$D,T$53,Data!$B:$B,$M$4,Data!$E:$E,T$54)</f>
        <v>0</v>
      </c>
    </row>
    <row r="66" spans="2:20" ht="15.75" hidden="1" customHeight="1" thickTop="1" thickBot="1" x14ac:dyDescent="0.35">
      <c r="B66" s="58" t="s">
        <v>28</v>
      </c>
      <c r="C66" s="72">
        <f>SUMIFS(Data!$M:$M,Data!$G:$G,$B66,Data!$D:$D,C$53,Data!$E:$E,C$54)</f>
        <v>0</v>
      </c>
      <c r="D66" s="72">
        <f>SUMIFS(Data!$M:$M,Data!$G:$G,$B66,Data!$D:$D,D$53,Data!$E:$E,D$54)</f>
        <v>0</v>
      </c>
      <c r="E66" s="72">
        <f>SUMIFS(Data!$M:$M,Data!$G:$G,$B66,Data!$D:$D,E$53,Data!$E:$E,E$54)</f>
        <v>0</v>
      </c>
      <c r="F66" s="72">
        <f>SUMIFS(Data!$M:$M,Data!$G:$G,$B66,Data!$D:$D,F$53,Data!$E:$E,F$54)</f>
        <v>0</v>
      </c>
      <c r="G66" s="72">
        <f>SUMIFS(Data!$M:$M,Data!$G:$G,$B66,Data!$D:$D,G$53,Data!$E:$E,G$54)</f>
        <v>0</v>
      </c>
      <c r="H66" s="72">
        <f>SUMIFS(Data!$M:$M,Data!$G:$G,$B66,Data!$D:$D,H$53,Data!$E:$E,H$54)</f>
        <v>6.5231459960000002</v>
      </c>
      <c r="I66" s="72">
        <f>SUMIFS(Data!$M:$M,Data!$G:$G,$B66,Data!$D:$D,I$53,Data!$E:$E,I$54)</f>
        <v>0</v>
      </c>
      <c r="J66" s="72">
        <f>SUMIFS(Data!$M:$M,Data!$G:$G,$B66,Data!$D:$D,J$53,Data!$E:$E,J$54)</f>
        <v>0</v>
      </c>
      <c r="L66" s="58" t="s">
        <v>28</v>
      </c>
      <c r="M66" s="72">
        <f>SUMIFS(Data!$M:$M,Data!$G:$G,$L66,Data!$D:$D,M$53,Data!$B:$B,$M$4,Data!$E:$E,M$54)</f>
        <v>0</v>
      </c>
      <c r="N66" s="72">
        <f>SUMIFS(Data!$M:$M,Data!$G:$G,$L66,Data!$D:$D,N$53,Data!$B:$B,$M$4,Data!$E:$E,N$54)</f>
        <v>0</v>
      </c>
      <c r="O66" s="72">
        <f>SUMIFS(Data!$M:$M,Data!$G:$G,$L66,Data!$D:$D,O$53,Data!$B:$B,$M$4,Data!$E:$E,O$54)</f>
        <v>0</v>
      </c>
      <c r="P66" s="72">
        <f>SUMIFS(Data!$M:$M,Data!$G:$G,$L66,Data!$D:$D,P$53,Data!$B:$B,$M$4,Data!$E:$E,P$54)</f>
        <v>0</v>
      </c>
      <c r="Q66" s="72">
        <f>SUMIFS(Data!$M:$M,Data!$G:$G,$L66,Data!$D:$D,Q$53,Data!$B:$B,$M$4,Data!$E:$E,Q$54)</f>
        <v>0</v>
      </c>
      <c r="R66" s="72">
        <f>SUMIFS(Data!$M:$M,Data!$G:$G,$L66,Data!$D:$D,R$53,Data!$B:$B,$M$4,Data!$E:$E,R$54)</f>
        <v>0.52645035600000001</v>
      </c>
      <c r="S66" s="72">
        <f>SUMIFS(Data!$M:$M,Data!$G:$G,$L66,Data!$D:$D,S$53,Data!$B:$B,$M$4,Data!$E:$E,S$54)</f>
        <v>0</v>
      </c>
      <c r="T66" s="72">
        <f>SUMIFS(Data!$M:$M,Data!$G:$G,$L66,Data!$D:$D,T$53,Data!$B:$B,$M$4,Data!$E:$E,T$54)</f>
        <v>0</v>
      </c>
    </row>
    <row r="67" spans="2:20" ht="15.75" hidden="1" customHeight="1" thickTop="1" thickBot="1" x14ac:dyDescent="0.35">
      <c r="B67" s="58" t="s">
        <v>76</v>
      </c>
      <c r="C67" s="72">
        <f>SUMIFS(Data!$M:$M,Data!$G:$G,$B67,Data!$D:$D,C$53,Data!$E:$E,C$54)</f>
        <v>0</v>
      </c>
      <c r="D67" s="72">
        <f>SUMIFS(Data!$M:$M,Data!$G:$G,$B67,Data!$D:$D,D$53,Data!$E:$E,D$54)</f>
        <v>0</v>
      </c>
      <c r="E67" s="72">
        <f>SUMIFS(Data!$M:$M,Data!$G:$G,$B67,Data!$D:$D,E$53,Data!$E:$E,E$54)</f>
        <v>0</v>
      </c>
      <c r="F67" s="72">
        <f>SUMIFS(Data!$M:$M,Data!$G:$G,$B67,Data!$D:$D,F$53,Data!$E:$E,F$54)</f>
        <v>0</v>
      </c>
      <c r="G67" s="72">
        <f>SUMIFS(Data!$M:$M,Data!$G:$G,$B67,Data!$D:$D,G$53,Data!$E:$E,G$54)</f>
        <v>0</v>
      </c>
      <c r="H67" s="72">
        <f>SUMIFS(Data!$M:$M,Data!$G:$G,$B67,Data!$D:$D,H$53,Data!$E:$E,H$54)</f>
        <v>0</v>
      </c>
      <c r="I67" s="72">
        <f>SUMIFS(Data!$M:$M,Data!$G:$G,$B67,Data!$D:$D,I$53,Data!$E:$E,I$54)</f>
        <v>0</v>
      </c>
      <c r="J67" s="72">
        <f>SUMIFS(Data!$M:$M,Data!$G:$G,$B67,Data!$D:$D,J$53,Data!$E:$E,J$54)</f>
        <v>0</v>
      </c>
      <c r="L67" s="58" t="s">
        <v>76</v>
      </c>
      <c r="M67" s="72">
        <f>SUMIFS(Data!$M:$M,Data!$G:$G,$L67,Data!$D:$D,M$53,Data!$B:$B,$M$4,Data!$E:$E,M$54)</f>
        <v>0</v>
      </c>
      <c r="N67" s="72">
        <f>SUMIFS(Data!$M:$M,Data!$G:$G,$L67,Data!$D:$D,N$53,Data!$B:$B,$M$4,Data!$E:$E,N$54)</f>
        <v>0</v>
      </c>
      <c r="O67" s="72">
        <f>SUMIFS(Data!$M:$M,Data!$G:$G,$L67,Data!$D:$D,O$53,Data!$B:$B,$M$4,Data!$E:$E,O$54)</f>
        <v>0</v>
      </c>
      <c r="P67" s="72">
        <f>SUMIFS(Data!$M:$M,Data!$G:$G,$L67,Data!$D:$D,P$53,Data!$B:$B,$M$4,Data!$E:$E,P$54)</f>
        <v>0</v>
      </c>
      <c r="Q67" s="72">
        <f>SUMIFS(Data!$M:$M,Data!$G:$G,$L67,Data!$D:$D,Q$53,Data!$B:$B,$M$4,Data!$E:$E,Q$54)</f>
        <v>0</v>
      </c>
      <c r="R67" s="72">
        <f>SUMIFS(Data!$M:$M,Data!$G:$G,$L67,Data!$D:$D,R$53,Data!$B:$B,$M$4,Data!$E:$E,R$54)</f>
        <v>0</v>
      </c>
      <c r="S67" s="72">
        <f>SUMIFS(Data!$M:$M,Data!$G:$G,$L67,Data!$D:$D,S$53,Data!$B:$B,$M$4,Data!$E:$E,S$54)</f>
        <v>0</v>
      </c>
      <c r="T67" s="72">
        <f>SUMIFS(Data!$M:$M,Data!$G:$G,$L67,Data!$D:$D,T$53,Data!$B:$B,$M$4,Data!$E:$E,T$54)</f>
        <v>0</v>
      </c>
    </row>
    <row r="68" spans="2:20" ht="15.75" hidden="1" customHeight="1" thickTop="1" thickBot="1" x14ac:dyDescent="0.35">
      <c r="B68" s="64" t="s">
        <v>59</v>
      </c>
      <c r="C68" s="65">
        <f>SUM(C64:C67)</f>
        <v>0</v>
      </c>
      <c r="D68" s="65">
        <f t="shared" ref="D68" si="30">SUM(D64:D67)</f>
        <v>0</v>
      </c>
      <c r="E68" s="65">
        <f t="shared" ref="E68:J68" si="31">SUM(E64:E67)</f>
        <v>0</v>
      </c>
      <c r="F68" s="65">
        <f t="shared" si="31"/>
        <v>0</v>
      </c>
      <c r="G68" s="65">
        <f t="shared" si="31"/>
        <v>0</v>
      </c>
      <c r="H68" s="65">
        <f t="shared" si="31"/>
        <v>26.538703603335183</v>
      </c>
      <c r="I68" s="65">
        <f t="shared" ref="I68" si="32">SUM(I64:I67)</f>
        <v>0</v>
      </c>
      <c r="J68" s="65">
        <f t="shared" si="31"/>
        <v>0</v>
      </c>
      <c r="L68" s="64" t="s">
        <v>59</v>
      </c>
      <c r="M68" s="65">
        <f>SUM(M64:M67)</f>
        <v>0</v>
      </c>
      <c r="N68" s="65">
        <f t="shared" ref="N68" si="33">SUM(N64:N67)</f>
        <v>0</v>
      </c>
      <c r="O68" s="65">
        <f t="shared" ref="O68:T68" si="34">SUM(O64:O67)</f>
        <v>0</v>
      </c>
      <c r="P68" s="65">
        <f t="shared" si="34"/>
        <v>0</v>
      </c>
      <c r="Q68" s="65">
        <f t="shared" si="34"/>
        <v>0</v>
      </c>
      <c r="R68" s="65">
        <f t="shared" si="34"/>
        <v>0.52645035600000001</v>
      </c>
      <c r="S68" s="65">
        <f t="shared" ref="S68" si="35">SUM(S64:S67)</f>
        <v>0</v>
      </c>
      <c r="T68" s="65">
        <f t="shared" si="34"/>
        <v>0</v>
      </c>
    </row>
    <row r="69" spans="2:20" ht="15.75" hidden="1" customHeight="1" thickTop="1" thickBot="1" x14ac:dyDescent="0.35">
      <c r="B69" s="62" t="s">
        <v>30</v>
      </c>
      <c r="C69" s="63"/>
      <c r="D69" s="63"/>
      <c r="E69" s="63"/>
      <c r="F69" s="63"/>
      <c r="G69" s="63"/>
      <c r="H69" s="63"/>
      <c r="I69" s="63"/>
      <c r="J69" s="63"/>
      <c r="L69" s="62" t="s">
        <v>30</v>
      </c>
      <c r="M69" s="63"/>
      <c r="N69" s="63"/>
      <c r="O69" s="63"/>
      <c r="P69" s="63"/>
      <c r="Q69" s="63"/>
      <c r="R69" s="63"/>
      <c r="S69" s="63"/>
      <c r="T69" s="63"/>
    </row>
    <row r="70" spans="2:20" ht="15.75" hidden="1" customHeight="1" thickTop="1" thickBot="1" x14ac:dyDescent="0.35">
      <c r="B70" s="61" t="s">
        <v>31</v>
      </c>
      <c r="C70" s="72">
        <f>SUMIFS(Data!$M:$M,Data!$G:$G,$B70,Data!$D:$D,C$53,Data!$E:$E,C$54)</f>
        <v>0</v>
      </c>
      <c r="D70" s="72">
        <f>SUMIFS(Data!$M:$M,Data!$G:$G,$B70,Data!$D:$D,D$53,Data!$E:$E,D$54)</f>
        <v>0</v>
      </c>
      <c r="E70" s="72">
        <f>SUMIFS(Data!$M:$M,Data!$G:$G,$B70,Data!$D:$D,E$53,Data!$E:$E,E$54)</f>
        <v>0</v>
      </c>
      <c r="F70" s="72">
        <f>SUMIFS(Data!$M:$M,Data!$G:$G,$B70,Data!$D:$D,F$53,Data!$E:$E,F$54)</f>
        <v>0</v>
      </c>
      <c r="G70" s="72">
        <f>SUMIFS(Data!$M:$M,Data!$G:$G,$B70,Data!$D:$D,G$53,Data!$E:$E,G$54)</f>
        <v>0</v>
      </c>
      <c r="H70" s="72">
        <f>SUMIFS(Data!$M:$M,Data!$G:$G,$B70,Data!$D:$D,H$53,Data!$E:$E,H$54)</f>
        <v>16.557688710357144</v>
      </c>
      <c r="I70" s="72">
        <f>SUMIFS(Data!$M:$M,Data!$G:$G,$B70,Data!$D:$D,I$53,Data!$E:$E,I$54)</f>
        <v>0</v>
      </c>
      <c r="J70" s="72">
        <f>SUMIFS(Data!$M:$M,Data!$G:$G,$B70,Data!$D:$D,J$53,Data!$E:$E,J$54)</f>
        <v>0</v>
      </c>
      <c r="L70" s="61" t="s">
        <v>31</v>
      </c>
      <c r="M70" s="72">
        <f>SUMIFS(Data!$M:$M,Data!$G:$G,$L70,Data!$D:$D,M$53,Data!$B:$B,$M$4,Data!$E:$E,M$54)</f>
        <v>0</v>
      </c>
      <c r="N70" s="72">
        <f>SUMIFS(Data!$M:$M,Data!$G:$G,$L70,Data!$D:$D,N$53,Data!$B:$B,$M$4,Data!$E:$E,N$54)</f>
        <v>0</v>
      </c>
      <c r="O70" s="72">
        <f>SUMIFS(Data!$M:$M,Data!$G:$G,$L70,Data!$D:$D,O$53,Data!$B:$B,$M$4,Data!$E:$E,O$54)</f>
        <v>0</v>
      </c>
      <c r="P70" s="72">
        <f>SUMIFS(Data!$M:$M,Data!$G:$G,$L70,Data!$D:$D,P$53,Data!$B:$B,$M$4,Data!$E:$E,P$54)</f>
        <v>0</v>
      </c>
      <c r="Q70" s="72">
        <f>SUMIFS(Data!$M:$M,Data!$G:$G,$L70,Data!$D:$D,Q$53,Data!$B:$B,$M$4,Data!$E:$E,Q$54)</f>
        <v>0</v>
      </c>
      <c r="R70" s="72">
        <f>SUMIFS(Data!$M:$M,Data!$G:$G,$L70,Data!$D:$D,R$53,Data!$B:$B,$M$4,Data!$E:$E,R$54)</f>
        <v>5.7034656928571428</v>
      </c>
      <c r="S70" s="72">
        <f>SUMIFS(Data!$M:$M,Data!$G:$G,$L70,Data!$D:$D,S$53,Data!$B:$B,$M$4,Data!$E:$E,S$54)</f>
        <v>0</v>
      </c>
      <c r="T70" s="72">
        <f>SUMIFS(Data!$M:$M,Data!$G:$G,$L70,Data!$D:$D,T$53,Data!$B:$B,$M$4,Data!$E:$E,T$54)</f>
        <v>0</v>
      </c>
    </row>
    <row r="71" spans="2:20" ht="15.75" hidden="1" customHeight="1" thickTop="1" thickBot="1" x14ac:dyDescent="0.35">
      <c r="B71" s="61" t="s">
        <v>33</v>
      </c>
      <c r="C71" s="72">
        <f>SUMIFS(Data!$M:$M,Data!$G:$G,$B71,Data!$D:$D,C$53,Data!$E:$E,C$54)</f>
        <v>0</v>
      </c>
      <c r="D71" s="72">
        <f>SUMIFS(Data!$M:$M,Data!$G:$G,$B71,Data!$D:$D,D$53,Data!$E:$E,D$54)</f>
        <v>0</v>
      </c>
      <c r="E71" s="72">
        <f>SUMIFS(Data!$M:$M,Data!$G:$G,$B71,Data!$D:$D,E$53,Data!$E:$E,E$54)</f>
        <v>0</v>
      </c>
      <c r="F71" s="72">
        <f>SUMIFS(Data!$M:$M,Data!$G:$G,$B71,Data!$D:$D,F$53,Data!$E:$E,F$54)</f>
        <v>0</v>
      </c>
      <c r="G71" s="72">
        <f>SUMIFS(Data!$M:$M,Data!$G:$G,$B71,Data!$D:$D,G$53,Data!$E:$E,G$54)</f>
        <v>0</v>
      </c>
      <c r="H71" s="72">
        <f>SUMIFS(Data!$M:$M,Data!$G:$G,$B71,Data!$D:$D,H$53,Data!$E:$E,H$54)</f>
        <v>8.6405593633540363</v>
      </c>
      <c r="I71" s="72">
        <f>SUMIFS(Data!$M:$M,Data!$G:$G,$B71,Data!$D:$D,I$53,Data!$E:$E,I$54)</f>
        <v>0</v>
      </c>
      <c r="J71" s="72">
        <f>SUMIFS(Data!$M:$M,Data!$G:$G,$B71,Data!$D:$D,J$53,Data!$E:$E,J$54)</f>
        <v>0</v>
      </c>
      <c r="L71" s="61" t="s">
        <v>33</v>
      </c>
      <c r="M71" s="72">
        <f>SUMIFS(Data!$M:$M,Data!$G:$G,$L71,Data!$D:$D,M$53,Data!$B:$B,$M$4,Data!$E:$E,M$54)</f>
        <v>0</v>
      </c>
      <c r="N71" s="72">
        <f>SUMIFS(Data!$M:$M,Data!$G:$G,$L71,Data!$D:$D,N$53,Data!$B:$B,$M$4,Data!$E:$E,N$54)</f>
        <v>0</v>
      </c>
      <c r="O71" s="72">
        <f>SUMIFS(Data!$M:$M,Data!$G:$G,$L71,Data!$D:$D,O$53,Data!$B:$B,$M$4,Data!$E:$E,O$54)</f>
        <v>0</v>
      </c>
      <c r="P71" s="72">
        <f>SUMIFS(Data!$M:$M,Data!$G:$G,$L71,Data!$D:$D,P$53,Data!$B:$B,$M$4,Data!$E:$E,P$54)</f>
        <v>0</v>
      </c>
      <c r="Q71" s="72">
        <f>SUMIFS(Data!$M:$M,Data!$G:$G,$L71,Data!$D:$D,Q$53,Data!$B:$B,$M$4,Data!$E:$E,Q$54)</f>
        <v>0</v>
      </c>
      <c r="R71" s="72">
        <f>SUMIFS(Data!$M:$M,Data!$G:$G,$L71,Data!$D:$D,R$53,Data!$B:$B,$M$4,Data!$E:$E,R$54)</f>
        <v>0.1030514347826087</v>
      </c>
      <c r="S71" s="72">
        <f>SUMIFS(Data!$M:$M,Data!$G:$G,$L71,Data!$D:$D,S$53,Data!$B:$B,$M$4,Data!$E:$E,S$54)</f>
        <v>0</v>
      </c>
      <c r="T71" s="72">
        <f>SUMIFS(Data!$M:$M,Data!$G:$G,$L71,Data!$D:$D,T$53,Data!$B:$B,$M$4,Data!$E:$E,T$54)</f>
        <v>0</v>
      </c>
    </row>
    <row r="72" spans="2:20" ht="15.75" hidden="1" customHeight="1" thickTop="1" thickBot="1" x14ac:dyDescent="0.35">
      <c r="B72" s="61" t="s">
        <v>34</v>
      </c>
      <c r="C72" s="72">
        <f>SUMIFS(Data!$M:$M,Data!$G:$G,$B72,Data!$D:$D,C$53,Data!$E:$E,C$54)</f>
        <v>0</v>
      </c>
      <c r="D72" s="72">
        <f>SUMIFS(Data!$M:$M,Data!$G:$G,$B72,Data!$D:$D,D$53,Data!$E:$E,D$54)</f>
        <v>0</v>
      </c>
      <c r="E72" s="72">
        <f>SUMIFS(Data!$M:$M,Data!$G:$G,$B72,Data!$D:$D,E$53,Data!$E:$E,E$54)</f>
        <v>0</v>
      </c>
      <c r="F72" s="72">
        <f>SUMIFS(Data!$M:$M,Data!$G:$G,$B72,Data!$D:$D,F$53,Data!$E:$E,F$54)</f>
        <v>0</v>
      </c>
      <c r="G72" s="72">
        <f>SUMIFS(Data!$M:$M,Data!$G:$G,$B72,Data!$D:$D,G$53,Data!$E:$E,G$54)</f>
        <v>0</v>
      </c>
      <c r="H72" s="72">
        <f>SUMIFS(Data!$M:$M,Data!$G:$G,$B72,Data!$D:$D,H$53,Data!$E:$E,H$54)</f>
        <v>9.2088827999999998E-2</v>
      </c>
      <c r="I72" s="72">
        <f>SUMIFS(Data!$M:$M,Data!$G:$G,$B72,Data!$D:$D,I$53,Data!$E:$E,I$54)</f>
        <v>0</v>
      </c>
      <c r="J72" s="72">
        <f>SUMIFS(Data!$M:$M,Data!$G:$G,$B72,Data!$D:$D,J$53,Data!$E:$E,J$54)</f>
        <v>0</v>
      </c>
      <c r="L72" s="61" t="s">
        <v>34</v>
      </c>
      <c r="M72" s="72">
        <f>SUMIFS(Data!$M:$M,Data!$G:$G,$L72,Data!$D:$D,M$53,Data!$B:$B,$M$4,Data!$E:$E,M$54)</f>
        <v>0</v>
      </c>
      <c r="N72" s="72">
        <f>SUMIFS(Data!$M:$M,Data!$G:$G,$L72,Data!$D:$D,N$53,Data!$B:$B,$M$4,Data!$E:$E,N$54)</f>
        <v>0</v>
      </c>
      <c r="O72" s="72">
        <f>SUMIFS(Data!$M:$M,Data!$G:$G,$L72,Data!$D:$D,O$53,Data!$B:$B,$M$4,Data!$E:$E,O$54)</f>
        <v>0</v>
      </c>
      <c r="P72" s="72">
        <f>SUMIFS(Data!$M:$M,Data!$G:$G,$L72,Data!$D:$D,P$53,Data!$B:$B,$M$4,Data!$E:$E,P$54)</f>
        <v>0</v>
      </c>
      <c r="Q72" s="72">
        <f>SUMIFS(Data!$M:$M,Data!$G:$G,$L72,Data!$D:$D,Q$53,Data!$B:$B,$M$4,Data!$E:$E,Q$54)</f>
        <v>0</v>
      </c>
      <c r="R72" s="72">
        <f>SUMIFS(Data!$M:$M,Data!$G:$G,$L72,Data!$D:$D,R$53,Data!$B:$B,$M$4,Data!$E:$E,R$54)</f>
        <v>0</v>
      </c>
      <c r="S72" s="72">
        <f>SUMIFS(Data!$M:$M,Data!$G:$G,$L72,Data!$D:$D,S$53,Data!$B:$B,$M$4,Data!$E:$E,S$54)</f>
        <v>0</v>
      </c>
      <c r="T72" s="72">
        <f>SUMIFS(Data!$M:$M,Data!$G:$G,$L72,Data!$D:$D,T$53,Data!$B:$B,$M$4,Data!$E:$E,T$54)</f>
        <v>0</v>
      </c>
    </row>
    <row r="73" spans="2:20" ht="15.75" hidden="1" customHeight="1" thickTop="1" thickBot="1" x14ac:dyDescent="0.35">
      <c r="B73" s="61" t="s">
        <v>35</v>
      </c>
      <c r="C73" s="72">
        <f>SUMIFS(Data!$M:$M,Data!$G:$G,$B73,Data!$D:$D,C$53,Data!$E:$E,C$54)</f>
        <v>0</v>
      </c>
      <c r="D73" s="72">
        <f>SUMIFS(Data!$M:$M,Data!$G:$G,$B73,Data!$D:$D,D$53,Data!$E:$E,D$54)</f>
        <v>0</v>
      </c>
      <c r="E73" s="72">
        <f>SUMIFS(Data!$M:$M,Data!$G:$G,$B73,Data!$D:$D,E$53,Data!$E:$E,E$54)</f>
        <v>0</v>
      </c>
      <c r="F73" s="72">
        <f>SUMIFS(Data!$M:$M,Data!$G:$G,$B73,Data!$D:$D,F$53,Data!$E:$E,F$54)</f>
        <v>0</v>
      </c>
      <c r="G73" s="72">
        <f>SUMIFS(Data!$M:$M,Data!$G:$G,$B73,Data!$D:$D,G$53,Data!$E:$E,G$54)</f>
        <v>0</v>
      </c>
      <c r="H73" s="72">
        <f>SUMIFS(Data!$M:$M,Data!$G:$G,$B73,Data!$D:$D,H$53,Data!$E:$E,H$54)</f>
        <v>0.50822637399999993</v>
      </c>
      <c r="I73" s="72">
        <f>SUMIFS(Data!$M:$M,Data!$G:$G,$B73,Data!$D:$D,I$53,Data!$E:$E,I$54)</f>
        <v>0</v>
      </c>
      <c r="J73" s="72">
        <f>SUMIFS(Data!$M:$M,Data!$G:$G,$B73,Data!$D:$D,J$53,Data!$E:$E,J$54)</f>
        <v>0</v>
      </c>
      <c r="L73" s="61" t="s">
        <v>35</v>
      </c>
      <c r="M73" s="72">
        <f>SUMIFS(Data!$M:$M,Data!$G:$G,$L73,Data!$D:$D,M$53,Data!$B:$B,$M$4,Data!$E:$E,M$54)</f>
        <v>0</v>
      </c>
      <c r="N73" s="72">
        <f>SUMIFS(Data!$M:$M,Data!$G:$G,$L73,Data!$D:$D,N$53,Data!$B:$B,$M$4,Data!$E:$E,N$54)</f>
        <v>0</v>
      </c>
      <c r="O73" s="72">
        <f>SUMIFS(Data!$M:$M,Data!$G:$G,$L73,Data!$D:$D,O$53,Data!$B:$B,$M$4,Data!$E:$E,O$54)</f>
        <v>0</v>
      </c>
      <c r="P73" s="72">
        <f>SUMIFS(Data!$M:$M,Data!$G:$G,$L73,Data!$D:$D,P$53,Data!$B:$B,$M$4,Data!$E:$E,P$54)</f>
        <v>0</v>
      </c>
      <c r="Q73" s="72">
        <f>SUMIFS(Data!$M:$M,Data!$G:$G,$L73,Data!$D:$D,Q$53,Data!$B:$B,$M$4,Data!$E:$E,Q$54)</f>
        <v>0</v>
      </c>
      <c r="R73" s="72">
        <f>SUMIFS(Data!$M:$M,Data!$G:$G,$L73,Data!$D:$D,R$53,Data!$B:$B,$M$4,Data!$E:$E,R$54)</f>
        <v>0</v>
      </c>
      <c r="S73" s="72">
        <f>SUMIFS(Data!$M:$M,Data!$G:$G,$L73,Data!$D:$D,S$53,Data!$B:$B,$M$4,Data!$E:$E,S$54)</f>
        <v>0</v>
      </c>
      <c r="T73" s="72">
        <f>SUMIFS(Data!$M:$M,Data!$G:$G,$L73,Data!$D:$D,T$53,Data!$B:$B,$M$4,Data!$E:$E,T$54)</f>
        <v>0</v>
      </c>
    </row>
    <row r="74" spans="2:20" ht="15.75" hidden="1" customHeight="1" thickTop="1" thickBot="1" x14ac:dyDescent="0.35">
      <c r="B74" s="61" t="s">
        <v>36</v>
      </c>
      <c r="C74" s="72">
        <f>SUMIFS(Data!$M:$M,Data!$G:$G,$B74,Data!$D:$D,C$53,Data!$E:$E,C$54)</f>
        <v>0</v>
      </c>
      <c r="D74" s="72">
        <f>SUMIFS(Data!$M:$M,Data!$G:$G,$B74,Data!$D:$D,D$53,Data!$E:$E,D$54)</f>
        <v>0</v>
      </c>
      <c r="E74" s="72">
        <f>SUMIFS(Data!$M:$M,Data!$G:$G,$B74,Data!$D:$D,E$53,Data!$E:$E,E$54)</f>
        <v>0</v>
      </c>
      <c r="F74" s="72">
        <f>SUMIFS(Data!$M:$M,Data!$G:$G,$B74,Data!$D:$D,F$53,Data!$E:$E,F$54)</f>
        <v>0</v>
      </c>
      <c r="G74" s="72">
        <f>SUMIFS(Data!$M:$M,Data!$G:$G,$B74,Data!$D:$D,G$53,Data!$E:$E,G$54)</f>
        <v>0</v>
      </c>
      <c r="H74" s="72">
        <f>SUMIFS(Data!$M:$M,Data!$G:$G,$B74,Data!$D:$D,H$53,Data!$E:$E,H$54)</f>
        <v>20.272310999999998</v>
      </c>
      <c r="I74" s="72">
        <f>SUMIFS(Data!$M:$M,Data!$G:$G,$B74,Data!$D:$D,I$53,Data!$E:$E,I$54)</f>
        <v>0</v>
      </c>
      <c r="J74" s="72">
        <f>SUMIFS(Data!$M:$M,Data!$G:$G,$B74,Data!$D:$D,J$53,Data!$E:$E,J$54)</f>
        <v>0</v>
      </c>
      <c r="L74" s="61" t="s">
        <v>36</v>
      </c>
      <c r="M74" s="72">
        <f>SUMIFS(Data!$M:$M,Data!$G:$G,$L74,Data!$D:$D,M$53,Data!$B:$B,$M$4,Data!$E:$E,M$54)</f>
        <v>0</v>
      </c>
      <c r="N74" s="72">
        <f>SUMIFS(Data!$M:$M,Data!$G:$G,$L74,Data!$D:$D,N$53,Data!$B:$B,$M$4,Data!$E:$E,N$54)</f>
        <v>0</v>
      </c>
      <c r="O74" s="72">
        <f>SUMIFS(Data!$M:$M,Data!$G:$G,$L74,Data!$D:$D,O$53,Data!$B:$B,$M$4,Data!$E:$E,O$54)</f>
        <v>0</v>
      </c>
      <c r="P74" s="72">
        <f>SUMIFS(Data!$M:$M,Data!$G:$G,$L74,Data!$D:$D,P$53,Data!$B:$B,$M$4,Data!$E:$E,P$54)</f>
        <v>0</v>
      </c>
      <c r="Q74" s="72">
        <f>SUMIFS(Data!$M:$M,Data!$G:$G,$L74,Data!$D:$D,Q$53,Data!$B:$B,$M$4,Data!$E:$E,Q$54)</f>
        <v>0</v>
      </c>
      <c r="R74" s="72">
        <f>SUMIFS(Data!$M:$M,Data!$G:$G,$L74,Data!$D:$D,R$53,Data!$B:$B,$M$4,Data!$E:$E,R$54)</f>
        <v>0</v>
      </c>
      <c r="S74" s="72">
        <f>SUMIFS(Data!$M:$M,Data!$G:$G,$L74,Data!$D:$D,S$53,Data!$B:$B,$M$4,Data!$E:$E,S$54)</f>
        <v>0</v>
      </c>
      <c r="T74" s="72">
        <f>SUMIFS(Data!$M:$M,Data!$G:$G,$L74,Data!$D:$D,T$53,Data!$B:$B,$M$4,Data!$E:$E,T$54)</f>
        <v>0</v>
      </c>
    </row>
    <row r="75" spans="2:20" ht="15.75" hidden="1" customHeight="1" thickTop="1" thickBot="1" x14ac:dyDescent="0.35">
      <c r="B75" s="64" t="s">
        <v>60</v>
      </c>
      <c r="C75" s="65">
        <f>SUM(C70:C74)</f>
        <v>0</v>
      </c>
      <c r="D75" s="65">
        <f t="shared" ref="D75:J75" si="36">SUM(D70:D74)</f>
        <v>0</v>
      </c>
      <c r="E75" s="65">
        <f t="shared" si="36"/>
        <v>0</v>
      </c>
      <c r="F75" s="65">
        <f t="shared" si="36"/>
        <v>0</v>
      </c>
      <c r="G75" s="65">
        <f t="shared" si="36"/>
        <v>0</v>
      </c>
      <c r="H75" s="65">
        <f t="shared" si="36"/>
        <v>46.070874275711176</v>
      </c>
      <c r="I75" s="65">
        <f t="shared" ref="I75" si="37">SUM(I70:I74)</f>
        <v>0</v>
      </c>
      <c r="J75" s="65">
        <f t="shared" si="36"/>
        <v>0</v>
      </c>
      <c r="L75" s="64" t="s">
        <v>60</v>
      </c>
      <c r="M75" s="65">
        <f>SUM(M70:M74)</f>
        <v>0</v>
      </c>
      <c r="N75" s="65">
        <f t="shared" ref="N75:T75" si="38">SUM(N70:N74)</f>
        <v>0</v>
      </c>
      <c r="O75" s="65">
        <f t="shared" si="38"/>
        <v>0</v>
      </c>
      <c r="P75" s="65">
        <f t="shared" si="38"/>
        <v>0</v>
      </c>
      <c r="Q75" s="65">
        <f t="shared" si="38"/>
        <v>0</v>
      </c>
      <c r="R75" s="65">
        <f t="shared" si="38"/>
        <v>5.8065171276397516</v>
      </c>
      <c r="S75" s="65">
        <f t="shared" ref="S75" si="39">SUM(S70:S74)</f>
        <v>0</v>
      </c>
      <c r="T75" s="65">
        <f t="shared" si="38"/>
        <v>0</v>
      </c>
    </row>
    <row r="76" spans="2:20" ht="15.75" hidden="1" customHeight="1" thickTop="1" thickBot="1" x14ac:dyDescent="0.35">
      <c r="B76" s="62" t="s">
        <v>61</v>
      </c>
      <c r="C76" s="63">
        <f>C62+C68+C75</f>
        <v>0</v>
      </c>
      <c r="D76" s="63">
        <f t="shared" ref="D76" si="40">D62+D68+D75</f>
        <v>0</v>
      </c>
      <c r="E76" s="63">
        <f t="shared" ref="E76:J76" si="41">E62+E68+E75</f>
        <v>0</v>
      </c>
      <c r="F76" s="63">
        <f t="shared" si="41"/>
        <v>0</v>
      </c>
      <c r="G76" s="63">
        <f t="shared" si="41"/>
        <v>0</v>
      </c>
      <c r="H76" s="63">
        <f t="shared" si="41"/>
        <v>1347.2833255507901</v>
      </c>
      <c r="I76" s="63">
        <f t="shared" ref="I76" si="42">I62+I68+I75</f>
        <v>0</v>
      </c>
      <c r="J76" s="63">
        <f t="shared" si="41"/>
        <v>0</v>
      </c>
      <c r="L76" s="62" t="s">
        <v>61</v>
      </c>
      <c r="M76" s="63">
        <f>M62+M68+M75</f>
        <v>0</v>
      </c>
      <c r="N76" s="63">
        <f t="shared" ref="N76" si="43">N62+N68+N75</f>
        <v>0</v>
      </c>
      <c r="O76" s="63">
        <f t="shared" ref="O76:T76" si="44">O62+O68+O75</f>
        <v>0</v>
      </c>
      <c r="P76" s="63">
        <f t="shared" si="44"/>
        <v>0</v>
      </c>
      <c r="Q76" s="63">
        <f t="shared" si="44"/>
        <v>0</v>
      </c>
      <c r="R76" s="63">
        <f t="shared" si="44"/>
        <v>21.534001122639751</v>
      </c>
      <c r="S76" s="63">
        <f t="shared" ref="S76" si="45">S62+S68+S75</f>
        <v>0</v>
      </c>
      <c r="T76" s="63">
        <f t="shared" si="44"/>
        <v>0</v>
      </c>
    </row>
    <row r="77" spans="2:20" ht="15.75" hidden="1" customHeight="1" thickTop="1" x14ac:dyDescent="0.3">
      <c r="K77" s="1"/>
      <c r="L77" s="9"/>
      <c r="M77" s="17"/>
      <c r="N77" s="16"/>
      <c r="O77" s="16"/>
      <c r="P77" s="16"/>
      <c r="Q77" s="16"/>
      <c r="R77" s="16"/>
      <c r="S77" s="16"/>
      <c r="T77" s="16"/>
    </row>
    <row r="78" spans="2:20" ht="15.75" hidden="1" customHeight="1" thickBot="1" x14ac:dyDescent="0.35">
      <c r="K78" s="1"/>
      <c r="L78" s="12"/>
      <c r="M78" s="1"/>
      <c r="N78" s="13"/>
      <c r="O78" s="13"/>
      <c r="P78" s="13"/>
      <c r="Q78" s="13"/>
      <c r="R78" s="13"/>
      <c r="S78" s="13"/>
      <c r="T78" s="13"/>
    </row>
    <row r="79" spans="2:20" ht="30" hidden="1" customHeight="1" thickTop="1" thickBot="1" x14ac:dyDescent="0.35">
      <c r="B79" s="338" t="s">
        <v>77</v>
      </c>
      <c r="C79" s="339"/>
      <c r="D79" s="339"/>
      <c r="E79" s="339"/>
      <c r="F79" s="339"/>
      <c r="G79" s="339"/>
      <c r="H79" s="339"/>
      <c r="I79" s="339"/>
      <c r="J79" s="339"/>
      <c r="K79" s="1"/>
      <c r="L79" s="340" t="s">
        <v>78</v>
      </c>
      <c r="M79" s="341"/>
      <c r="N79" s="341"/>
      <c r="O79" s="341"/>
      <c r="P79" s="341"/>
      <c r="Q79" s="341"/>
      <c r="R79" s="341"/>
      <c r="S79" s="341"/>
      <c r="T79" s="341"/>
    </row>
    <row r="80" spans="2:20" ht="15.75" hidden="1" customHeight="1" thickTop="1" thickBot="1" x14ac:dyDescent="0.35">
      <c r="B80" s="77"/>
      <c r="C80" s="69">
        <f>'Input keuzevariabelen'!$D$4</f>
        <v>2019</v>
      </c>
      <c r="D80" s="78">
        <f>C80+1</f>
        <v>2020</v>
      </c>
      <c r="E80" s="78">
        <f t="shared" ref="E80:H80" si="46">D80+1</f>
        <v>2021</v>
      </c>
      <c r="F80" s="78">
        <f t="shared" si="46"/>
        <v>2022</v>
      </c>
      <c r="G80" s="78">
        <f t="shared" si="46"/>
        <v>2023</v>
      </c>
      <c r="H80" s="78">
        <f t="shared" si="46"/>
        <v>2024</v>
      </c>
      <c r="I80" s="78">
        <f t="shared" ref="I80" si="47">H80+1</f>
        <v>2025</v>
      </c>
      <c r="J80" s="78">
        <f t="shared" ref="J80" si="48">I80+1</f>
        <v>2026</v>
      </c>
      <c r="K80" s="1"/>
      <c r="L80" s="77"/>
      <c r="M80" s="69">
        <f>'Input keuzevariabelen'!$D$4</f>
        <v>2019</v>
      </c>
      <c r="N80" s="78">
        <f>+M80+1</f>
        <v>2020</v>
      </c>
      <c r="O80" s="78">
        <f t="shared" ref="O80:R80" si="49">+N80+1</f>
        <v>2021</v>
      </c>
      <c r="P80" s="78">
        <f t="shared" si="49"/>
        <v>2022</v>
      </c>
      <c r="Q80" s="78">
        <f t="shared" si="49"/>
        <v>2023</v>
      </c>
      <c r="R80" s="78">
        <f t="shared" si="49"/>
        <v>2024</v>
      </c>
      <c r="S80" s="78">
        <f t="shared" ref="S80" si="50">+R80+1</f>
        <v>2025</v>
      </c>
      <c r="T80" s="78">
        <f t="shared" ref="T80" si="51">+S80+1</f>
        <v>2026</v>
      </c>
    </row>
    <row r="81" spans="2:20" ht="15.75" hidden="1" customHeight="1" thickTop="1" thickBot="1" x14ac:dyDescent="0.35">
      <c r="B81" s="79"/>
      <c r="C81" s="80" t="s">
        <v>56</v>
      </c>
      <c r="D81" s="80" t="s">
        <v>56</v>
      </c>
      <c r="E81" s="80" t="s">
        <v>56</v>
      </c>
      <c r="F81" s="80" t="s">
        <v>56</v>
      </c>
      <c r="G81" s="80" t="s">
        <v>56</v>
      </c>
      <c r="H81" s="80" t="s">
        <v>56</v>
      </c>
      <c r="I81" s="80" t="s">
        <v>56</v>
      </c>
      <c r="J81" s="80" t="s">
        <v>56</v>
      </c>
      <c r="K81" s="1"/>
      <c r="L81" s="79"/>
      <c r="M81" s="80" t="s">
        <v>56</v>
      </c>
      <c r="N81" s="80" t="s">
        <v>56</v>
      </c>
      <c r="O81" s="80" t="s">
        <v>56</v>
      </c>
      <c r="P81" s="80" t="s">
        <v>56</v>
      </c>
      <c r="Q81" s="80" t="s">
        <v>56</v>
      </c>
      <c r="R81" s="80" t="s">
        <v>56</v>
      </c>
      <c r="S81" s="80" t="s">
        <v>56</v>
      </c>
      <c r="T81" s="80" t="s">
        <v>56</v>
      </c>
    </row>
    <row r="82" spans="2:20" ht="15.75" hidden="1" customHeight="1" thickTop="1" thickBot="1" x14ac:dyDescent="0.35">
      <c r="B82" s="84" t="s">
        <v>63</v>
      </c>
      <c r="C82" s="85" t="e">
        <f>C76/$C$76</f>
        <v>#DIV/0!</v>
      </c>
      <c r="D82" s="85" t="e">
        <f t="shared" ref="D82:J82" si="52">D76/$C$76</f>
        <v>#DIV/0!</v>
      </c>
      <c r="E82" s="85" t="e">
        <f t="shared" ref="E82:I82" si="53">E76/$C$76</f>
        <v>#DIV/0!</v>
      </c>
      <c r="F82" s="85" t="e">
        <f t="shared" si="53"/>
        <v>#DIV/0!</v>
      </c>
      <c r="G82" s="85" t="e">
        <f t="shared" si="53"/>
        <v>#DIV/0!</v>
      </c>
      <c r="H82" s="85" t="e">
        <f t="shared" si="53"/>
        <v>#DIV/0!</v>
      </c>
      <c r="I82" s="85" t="e">
        <f t="shared" si="53"/>
        <v>#DIV/0!</v>
      </c>
      <c r="J82" s="85" t="e">
        <f t="shared" si="52"/>
        <v>#DIV/0!</v>
      </c>
      <c r="K82" s="1"/>
      <c r="L82" s="84" t="s">
        <v>63</v>
      </c>
      <c r="M82" s="85" t="e">
        <f>M76/$M$76</f>
        <v>#DIV/0!</v>
      </c>
      <c r="N82" s="85" t="e">
        <f>N76/$M$76</f>
        <v>#DIV/0!</v>
      </c>
      <c r="O82" s="85" t="e">
        <f t="shared" ref="O82:R82" si="54">O76/$M$76</f>
        <v>#DIV/0!</v>
      </c>
      <c r="P82" s="85" t="e">
        <f t="shared" si="54"/>
        <v>#DIV/0!</v>
      </c>
      <c r="Q82" s="85" t="e">
        <f t="shared" si="54"/>
        <v>#DIV/0!</v>
      </c>
      <c r="R82" s="85" t="e">
        <f t="shared" si="54"/>
        <v>#DIV/0!</v>
      </c>
      <c r="S82" s="85" t="e">
        <f t="shared" ref="S82:T82" si="55">S76/$M$76</f>
        <v>#DIV/0!</v>
      </c>
      <c r="T82" s="85" t="e">
        <f t="shared" si="55"/>
        <v>#DIV/0!</v>
      </c>
    </row>
    <row r="83" spans="2:20" ht="15.75" hidden="1" customHeight="1" x14ac:dyDescent="0.3">
      <c r="B83" s="135" t="s">
        <v>64</v>
      </c>
      <c r="C83" s="132"/>
      <c r="D83" s="132"/>
      <c r="E83" s="132"/>
      <c r="F83" s="132"/>
      <c r="G83" s="132"/>
      <c r="H83" s="132"/>
      <c r="I83" s="132"/>
      <c r="J83" s="132"/>
      <c r="K83" s="1"/>
      <c r="L83" s="135" t="s">
        <v>64</v>
      </c>
      <c r="M83" s="132"/>
      <c r="N83" s="132"/>
      <c r="O83" s="132"/>
      <c r="P83" s="132"/>
      <c r="Q83" s="132"/>
      <c r="R83" s="132"/>
      <c r="S83" s="132"/>
      <c r="T83" s="132"/>
    </row>
    <row r="84" spans="2:20" ht="15.75" hidden="1" customHeight="1" thickBot="1" x14ac:dyDescent="0.35">
      <c r="B84" s="115" t="str">
        <f>'Input keuzevariabelen'!$F$4</f>
        <v>Hoeveelheid verpompt afvalwater</v>
      </c>
      <c r="C84" s="128">
        <f>SUMIFS(Data!$H:$H,Data!$G:$G,$B84,Data!$D:$D,C$80,Data!$E:$E,C$81)</f>
        <v>0</v>
      </c>
      <c r="D84" s="128">
        <f>SUMIFS(Data!$H:$H,Data!$G:$G,$B84,Data!$D:$D,D$80,Data!$E:$E,D$81)</f>
        <v>0</v>
      </c>
      <c r="E84" s="128">
        <f>SUMIFS(Data!$H:$H,Data!$G:$G,$B84,Data!$D:$D,E$80,Data!$E:$E,E$81)</f>
        <v>0</v>
      </c>
      <c r="F84" s="128">
        <f>SUMIFS(Data!$H:$H,Data!$G:$G,$B84,Data!$D:$D,F$80,Data!$E:$E,F$81)</f>
        <v>0</v>
      </c>
      <c r="G84" s="128">
        <f>SUMIFS(Data!$H:$H,Data!$G:$G,$B84,Data!$D:$D,G$80,Data!$E:$E,G$81)</f>
        <v>0</v>
      </c>
      <c r="H84" s="128">
        <f>SUMIFS(Data!$H:$H,Data!$G:$G,$B84,Data!$D:$D,H$80,Data!$E:$E,H$81)</f>
        <v>0</v>
      </c>
      <c r="I84" s="128">
        <f>SUMIFS(Data!$H:$H,Data!$G:$G,$B84,Data!$D:$D,I$80,Data!$E:$E,I$81)</f>
        <v>0</v>
      </c>
      <c r="J84" s="128">
        <f>SUMIFS(Data!$H:$H,Data!$G:$G,$B84,Data!$D:$D,J$80,Data!$E:$E,J$81)</f>
        <v>0</v>
      </c>
      <c r="K84" s="1"/>
      <c r="L84" s="115" t="str">
        <f>'Input keuzevariabelen'!$F$4</f>
        <v>Hoeveelheid verpompt afvalwater</v>
      </c>
      <c r="M84" s="128">
        <f>SUMIFS(Data!$I:$I,Data!$G:$G,$L84,Data!$D:$D,M$80,Data!$B:$B,$M$4,Data!$E:$E,M$81)</f>
        <v>0</v>
      </c>
      <c r="N84" s="128">
        <f>SUMIFS(Data!$I:$I,Data!$G:$G,$L84,Data!$D:$D,N$80,Data!$B:$B,$M$4,Data!$E:$E,N$81)</f>
        <v>0</v>
      </c>
      <c r="O84" s="128">
        <f>SUMIFS(Data!$I:$I,Data!$G:$G,$L84,Data!$D:$D,O$80,Data!$B:$B,$M$4,Data!$E:$E,O$81)</f>
        <v>0</v>
      </c>
      <c r="P84" s="128">
        <f>SUMIFS(Data!$I:$I,Data!$G:$G,$L84,Data!$D:$D,P$80,Data!$B:$B,$M$4,Data!$E:$E,P$81)</f>
        <v>0</v>
      </c>
      <c r="Q84" s="128">
        <f>SUMIFS(Data!$I:$I,Data!$G:$G,$L84,Data!$D:$D,Q$80,Data!$B:$B,$M$4,Data!$E:$E,Q$81)</f>
        <v>0</v>
      </c>
      <c r="R84" s="128">
        <f>SUMIFS(Data!$I:$I,Data!$G:$G,$L84,Data!$D:$D,R$80,Data!$B:$B,$M$4,Data!$E:$E,R$81)</f>
        <v>0</v>
      </c>
      <c r="S84" s="128">
        <f>SUMIFS(Data!$I:$I,Data!$G:$G,$L84,Data!$D:$D,S$80,Data!$B:$B,$M$4,Data!$E:$E,S$81)</f>
        <v>0</v>
      </c>
      <c r="T84" s="128">
        <f>SUMIFS(Data!$I:$I,Data!$G:$G,$L84,Data!$D:$D,T$80,Data!$B:$B,$M$4,Data!$E:$E,T$81)</f>
        <v>0</v>
      </c>
    </row>
    <row r="85" spans="2:20" ht="15.75" hidden="1" customHeight="1" thickBot="1" x14ac:dyDescent="0.35">
      <c r="B85" s="87" t="s">
        <v>66</v>
      </c>
      <c r="C85" s="81" t="e">
        <f>C76/C84</f>
        <v>#DIV/0!</v>
      </c>
      <c r="D85" s="81" t="e">
        <f>D76/D84</f>
        <v>#DIV/0!</v>
      </c>
      <c r="E85" s="81" t="e">
        <f t="shared" ref="E85:H85" si="56">E76/E84</f>
        <v>#DIV/0!</v>
      </c>
      <c r="F85" s="81" t="e">
        <f t="shared" si="56"/>
        <v>#DIV/0!</v>
      </c>
      <c r="G85" s="81" t="e">
        <f t="shared" si="56"/>
        <v>#DIV/0!</v>
      </c>
      <c r="H85" s="81" t="e">
        <f t="shared" si="56"/>
        <v>#DIV/0!</v>
      </c>
      <c r="I85" s="81" t="e">
        <f t="shared" ref="I85:J85" si="57">I76/I84</f>
        <v>#DIV/0!</v>
      </c>
      <c r="J85" s="81" t="e">
        <f t="shared" si="57"/>
        <v>#DIV/0!</v>
      </c>
      <c r="K85" s="1"/>
      <c r="L85" s="87" t="s">
        <v>66</v>
      </c>
      <c r="M85" s="81" t="e">
        <f>M76/M84</f>
        <v>#DIV/0!</v>
      </c>
      <c r="N85" s="81" t="e">
        <f t="shared" ref="N85:R85" si="58">N76/N84</f>
        <v>#DIV/0!</v>
      </c>
      <c r="O85" s="81" t="e">
        <f t="shared" si="58"/>
        <v>#DIV/0!</v>
      </c>
      <c r="P85" s="81" t="e">
        <f t="shared" si="58"/>
        <v>#DIV/0!</v>
      </c>
      <c r="Q85" s="81" t="e">
        <f t="shared" si="58"/>
        <v>#DIV/0!</v>
      </c>
      <c r="R85" s="81" t="e">
        <f t="shared" si="58"/>
        <v>#DIV/0!</v>
      </c>
      <c r="S85" s="81" t="e">
        <f t="shared" ref="S85:T85" si="59">S76/S84</f>
        <v>#DIV/0!</v>
      </c>
      <c r="T85" s="81" t="e">
        <f t="shared" si="59"/>
        <v>#DIV/0!</v>
      </c>
    </row>
    <row r="86" spans="2:20" ht="15.75" hidden="1" customHeight="1" x14ac:dyDescent="0.3">
      <c r="B86" s="135" t="s">
        <v>79</v>
      </c>
      <c r="C86" s="136" t="e">
        <f>C85/$C$85</f>
        <v>#DIV/0!</v>
      </c>
      <c r="D86" s="136" t="e">
        <f t="shared" ref="D86:J86" si="60">D85/$C$85</f>
        <v>#DIV/0!</v>
      </c>
      <c r="E86" s="136" t="e">
        <f t="shared" si="60"/>
        <v>#DIV/0!</v>
      </c>
      <c r="F86" s="136" t="e">
        <f t="shared" si="60"/>
        <v>#DIV/0!</v>
      </c>
      <c r="G86" s="136" t="e">
        <f t="shared" si="60"/>
        <v>#DIV/0!</v>
      </c>
      <c r="H86" s="136" t="e">
        <f t="shared" si="60"/>
        <v>#DIV/0!</v>
      </c>
      <c r="I86" s="136" t="e">
        <f t="shared" ref="I86" si="61">I85/$C$85</f>
        <v>#DIV/0!</v>
      </c>
      <c r="J86" s="136" t="e">
        <f t="shared" si="60"/>
        <v>#DIV/0!</v>
      </c>
      <c r="K86" s="1"/>
      <c r="L86" s="135" t="s">
        <v>79</v>
      </c>
      <c r="M86" s="136" t="e">
        <f>M85/$M$85</f>
        <v>#DIV/0!</v>
      </c>
      <c r="N86" s="136" t="e">
        <f t="shared" ref="N86:T86" si="62">N85/$M$85</f>
        <v>#DIV/0!</v>
      </c>
      <c r="O86" s="136" t="e">
        <f t="shared" si="62"/>
        <v>#DIV/0!</v>
      </c>
      <c r="P86" s="136" t="e">
        <f t="shared" si="62"/>
        <v>#DIV/0!</v>
      </c>
      <c r="Q86" s="136" t="e">
        <f t="shared" si="62"/>
        <v>#DIV/0!</v>
      </c>
      <c r="R86" s="136" t="e">
        <f t="shared" si="62"/>
        <v>#DIV/0!</v>
      </c>
      <c r="S86" s="136" t="e">
        <f t="shared" ref="S86" si="63">S85/$M$85</f>
        <v>#DIV/0!</v>
      </c>
      <c r="T86" s="136" t="e">
        <f t="shared" si="62"/>
        <v>#DIV/0!</v>
      </c>
    </row>
    <row r="87" spans="2:20" ht="15.75" hidden="1" customHeight="1" thickBot="1" x14ac:dyDescent="0.35">
      <c r="B87" s="115" t="e">
        <f>'Input keuzevariabelen'!#REF!</f>
        <v>#REF!</v>
      </c>
      <c r="C87" s="128">
        <f>SUMIFS(Data!$H:$H,Data!$G:$G,$B87,Data!$D:$D,C$80,Data!$E:$E,C$81)</f>
        <v>0</v>
      </c>
      <c r="D87" s="128">
        <f>SUMIFS(Data!$H:$H,Data!$G:$G,$B87,Data!$D:$D,D$80,Data!$E:$E,D$81)</f>
        <v>0</v>
      </c>
      <c r="E87" s="128">
        <f>SUMIFS(Data!$H:$H,Data!$G:$G,$B87,Data!$D:$D,E$80,Data!$E:$E,E$81)</f>
        <v>0</v>
      </c>
      <c r="F87" s="128">
        <f>SUMIFS(Data!$H:$H,Data!$G:$G,$B87,Data!$D:$D,F$80,Data!$E:$E,F$81)</f>
        <v>0</v>
      </c>
      <c r="G87" s="128">
        <f>SUMIFS(Data!$H:$H,Data!$G:$G,$B87,Data!$D:$D,G$80,Data!$E:$E,G$81)</f>
        <v>0</v>
      </c>
      <c r="H87" s="128">
        <f>SUMIFS(Data!$H:$H,Data!$G:$G,$B87,Data!$D:$D,H$80,Data!$E:$E,H$81)</f>
        <v>0</v>
      </c>
      <c r="I87" s="128">
        <f>SUMIFS(Data!$H:$H,Data!$G:$G,$B87,Data!$D:$D,I$80,Data!$E:$E,I$81)</f>
        <v>0</v>
      </c>
      <c r="J87" s="128">
        <f>SUMIFS(Data!$H:$H,Data!$G:$G,$B87,Data!$D:$D,J$80,Data!$E:$E,J$81)</f>
        <v>0</v>
      </c>
      <c r="K87" s="1"/>
      <c r="L87" s="115" t="e">
        <f>'Input keuzevariabelen'!#REF!</f>
        <v>#REF!</v>
      </c>
      <c r="M87" s="128">
        <f>SUMIFS(Data!$I:$I,Data!$G:$G,$L87,Data!$D:$D,M$80,Data!$B:$B,$M$4,Data!$E:$E,M$81)</f>
        <v>0</v>
      </c>
      <c r="N87" s="128">
        <f>SUMIFS(Data!$I:$I,Data!$G:$G,$L87,Data!$D:$D,N$80,Data!$B:$B,$M$4,Data!$E:$E,N$81)</f>
        <v>0</v>
      </c>
      <c r="O87" s="128">
        <f>SUMIFS(Data!$I:$I,Data!$G:$G,$L87,Data!$D:$D,O$80,Data!$B:$B,$M$4,Data!$E:$E,O$81)</f>
        <v>0</v>
      </c>
      <c r="P87" s="128">
        <f>SUMIFS(Data!$I:$I,Data!$G:$G,$L87,Data!$D:$D,P$80,Data!$B:$B,$M$4,Data!$E:$E,P$81)</f>
        <v>0</v>
      </c>
      <c r="Q87" s="128">
        <f>SUMIFS(Data!$I:$I,Data!$G:$G,$L87,Data!$D:$D,Q$80,Data!$B:$B,$M$4,Data!$E:$E,Q$81)</f>
        <v>0</v>
      </c>
      <c r="R87" s="128">
        <f>SUMIFS(Data!$I:$I,Data!$G:$G,$L87,Data!$D:$D,R$80,Data!$B:$B,$M$4,Data!$E:$E,R$81)</f>
        <v>0</v>
      </c>
      <c r="S87" s="128">
        <f>SUMIFS(Data!$I:$I,Data!$G:$G,$L87,Data!$D:$D,S$80,Data!$B:$B,$M$4,Data!$E:$E,S$81)</f>
        <v>0</v>
      </c>
      <c r="T87" s="128">
        <f>SUMIFS(Data!$I:$I,Data!$G:$G,$L87,Data!$D:$D,T$80,Data!$B:$B,$M$4,Data!$E:$E,T$81)</f>
        <v>0</v>
      </c>
    </row>
    <row r="88" spans="2:20" ht="15.75" hidden="1" customHeight="1" thickBot="1" x14ac:dyDescent="0.35">
      <c r="B88" s="87" t="s">
        <v>66</v>
      </c>
      <c r="C88" s="81" t="e">
        <f>C76/C87</f>
        <v>#DIV/0!</v>
      </c>
      <c r="D88" s="81" t="e">
        <f t="shared" ref="D88:J88" si="64">D76/D87</f>
        <v>#DIV/0!</v>
      </c>
      <c r="E88" s="81" t="e">
        <f t="shared" si="64"/>
        <v>#DIV/0!</v>
      </c>
      <c r="F88" s="81" t="e">
        <f t="shared" si="64"/>
        <v>#DIV/0!</v>
      </c>
      <c r="G88" s="81" t="e">
        <f t="shared" si="64"/>
        <v>#DIV/0!</v>
      </c>
      <c r="H88" s="81" t="e">
        <f t="shared" si="64"/>
        <v>#DIV/0!</v>
      </c>
      <c r="I88" s="81" t="e">
        <f t="shared" ref="I88" si="65">I76/I87</f>
        <v>#DIV/0!</v>
      </c>
      <c r="J88" s="81" t="e">
        <f t="shared" si="64"/>
        <v>#DIV/0!</v>
      </c>
      <c r="K88" s="1"/>
      <c r="L88" s="87" t="s">
        <v>66</v>
      </c>
      <c r="M88" s="81" t="e">
        <f>M76/M87</f>
        <v>#DIV/0!</v>
      </c>
      <c r="N88" s="81" t="e">
        <f t="shared" ref="N88:T88" si="66">N76/N87</f>
        <v>#DIV/0!</v>
      </c>
      <c r="O88" s="81" t="e">
        <f t="shared" si="66"/>
        <v>#DIV/0!</v>
      </c>
      <c r="P88" s="81" t="e">
        <f t="shared" si="66"/>
        <v>#DIV/0!</v>
      </c>
      <c r="Q88" s="81" t="e">
        <f t="shared" si="66"/>
        <v>#DIV/0!</v>
      </c>
      <c r="R88" s="81" t="e">
        <f t="shared" si="66"/>
        <v>#DIV/0!</v>
      </c>
      <c r="S88" s="81" t="e">
        <f t="shared" ref="S88" si="67">S76/S87</f>
        <v>#DIV/0!</v>
      </c>
      <c r="T88" s="81" t="e">
        <f t="shared" si="66"/>
        <v>#DIV/0!</v>
      </c>
    </row>
    <row r="89" spans="2:20" ht="15.75" hidden="1" customHeight="1" x14ac:dyDescent="0.3">
      <c r="B89" s="135" t="s">
        <v>80</v>
      </c>
      <c r="C89" s="136" t="e">
        <f>C88/$C$88</f>
        <v>#DIV/0!</v>
      </c>
      <c r="D89" s="136" t="e">
        <f t="shared" ref="D89:J89" si="68">D88/$C$88</f>
        <v>#DIV/0!</v>
      </c>
      <c r="E89" s="136" t="e">
        <f t="shared" si="68"/>
        <v>#DIV/0!</v>
      </c>
      <c r="F89" s="136" t="e">
        <f t="shared" si="68"/>
        <v>#DIV/0!</v>
      </c>
      <c r="G89" s="136" t="e">
        <f t="shared" si="68"/>
        <v>#DIV/0!</v>
      </c>
      <c r="H89" s="136" t="e">
        <f t="shared" si="68"/>
        <v>#DIV/0!</v>
      </c>
      <c r="I89" s="136" t="e">
        <f t="shared" ref="I89" si="69">I88/$C$88</f>
        <v>#DIV/0!</v>
      </c>
      <c r="J89" s="136" t="e">
        <f t="shared" si="68"/>
        <v>#DIV/0!</v>
      </c>
      <c r="K89" s="1"/>
      <c r="L89" s="135" t="s">
        <v>80</v>
      </c>
      <c r="M89" s="136" t="e">
        <f>M88/$M$88</f>
        <v>#DIV/0!</v>
      </c>
      <c r="N89" s="136" t="e">
        <f t="shared" ref="N89:T89" si="70">N88/$M$88</f>
        <v>#DIV/0!</v>
      </c>
      <c r="O89" s="136" t="e">
        <f t="shared" si="70"/>
        <v>#DIV/0!</v>
      </c>
      <c r="P89" s="136" t="e">
        <f t="shared" si="70"/>
        <v>#DIV/0!</v>
      </c>
      <c r="Q89" s="136" t="e">
        <f t="shared" si="70"/>
        <v>#DIV/0!</v>
      </c>
      <c r="R89" s="136" t="e">
        <f t="shared" si="70"/>
        <v>#DIV/0!</v>
      </c>
      <c r="S89" s="136" t="e">
        <f t="shared" ref="S89" si="71">S88/$M$88</f>
        <v>#DIV/0!</v>
      </c>
      <c r="T89" s="136" t="e">
        <f t="shared" si="70"/>
        <v>#DIV/0!</v>
      </c>
    </row>
    <row r="90" spans="2:20" ht="15.75" hidden="1" customHeight="1" thickBot="1" x14ac:dyDescent="0.35">
      <c r="B90" s="115" t="e">
        <f>'Input keuzevariabelen'!#REF!</f>
        <v>#REF!</v>
      </c>
      <c r="C90" s="128">
        <f>SUMIFS(Data!$H:$H,Data!$G:$G,$B90,Data!$D:$D,C$80,Data!$E:$E,C$81)</f>
        <v>0</v>
      </c>
      <c r="D90" s="128">
        <f>SUMIFS(Data!$H:$H,Data!$G:$G,$B90,Data!$D:$D,D$80,Data!$E:$E,D$81)</f>
        <v>0</v>
      </c>
      <c r="E90" s="128">
        <f>SUMIFS(Data!$H:$H,Data!$G:$G,$B90,Data!$D:$D,E$80,Data!$E:$E,E$81)</f>
        <v>0</v>
      </c>
      <c r="F90" s="128">
        <f>SUMIFS(Data!$H:$H,Data!$G:$G,$B90,Data!$D:$D,F$80,Data!$E:$E,F$81)</f>
        <v>0</v>
      </c>
      <c r="G90" s="128">
        <f>SUMIFS(Data!$H:$H,Data!$G:$G,$B90,Data!$D:$D,G$80,Data!$E:$E,G$81)</f>
        <v>0</v>
      </c>
      <c r="H90" s="128">
        <f>SUMIFS(Data!$H:$H,Data!$G:$G,$B90,Data!$D:$D,H$80,Data!$E:$E,H$81)</f>
        <v>0</v>
      </c>
      <c r="I90" s="128">
        <f>SUMIFS(Data!$H:$H,Data!$G:$G,$B90,Data!$D:$D,I$80,Data!$E:$E,I$81)</f>
        <v>0</v>
      </c>
      <c r="J90" s="128">
        <f>SUMIFS(Data!$H:$H,Data!$G:$G,$B90,Data!$D:$D,J$80,Data!$E:$E,J$81)</f>
        <v>0</v>
      </c>
      <c r="K90" s="1"/>
      <c r="L90" s="115" t="e">
        <f>'Input keuzevariabelen'!#REF!</f>
        <v>#REF!</v>
      </c>
      <c r="M90" s="128">
        <f>SUMIFS(Data!$I:$I,Data!$G:$G,$L90,Data!$D:$D,M$80,Data!$B:$B,$M$4,Data!$E:$E,M$81)</f>
        <v>0</v>
      </c>
      <c r="N90" s="128">
        <f>SUMIFS(Data!$I:$I,Data!$G:$G,$L90,Data!$D:$D,N$80,Data!$B:$B,$M$4,Data!$E:$E,N$81)</f>
        <v>0</v>
      </c>
      <c r="O90" s="128">
        <f>SUMIFS(Data!$I:$I,Data!$G:$G,$L90,Data!$D:$D,O$80,Data!$B:$B,$M$4,Data!$E:$E,O$81)</f>
        <v>0</v>
      </c>
      <c r="P90" s="128">
        <f>SUMIFS(Data!$I:$I,Data!$G:$G,$L90,Data!$D:$D,P$80,Data!$B:$B,$M$4,Data!$E:$E,P$81)</f>
        <v>0</v>
      </c>
      <c r="Q90" s="128">
        <f>SUMIFS(Data!$I:$I,Data!$G:$G,$L90,Data!$D:$D,Q$80,Data!$B:$B,$M$4,Data!$E:$E,Q$81)</f>
        <v>0</v>
      </c>
      <c r="R90" s="128">
        <f>SUMIFS(Data!$I:$I,Data!$G:$G,$L90,Data!$D:$D,R$80,Data!$B:$B,$M$4,Data!$E:$E,R$81)</f>
        <v>0</v>
      </c>
      <c r="S90" s="128">
        <f>SUMIFS(Data!$I:$I,Data!$G:$G,$L90,Data!$D:$D,S$80,Data!$B:$B,$M$4,Data!$E:$E,S$81)</f>
        <v>0</v>
      </c>
      <c r="T90" s="128">
        <f>SUMIFS(Data!$I:$I,Data!$G:$G,$L90,Data!$D:$D,T$80,Data!$B:$B,$M$4,Data!$E:$E,T$81)</f>
        <v>0</v>
      </c>
    </row>
    <row r="91" spans="2:20" ht="15.75" hidden="1" customHeight="1" thickBot="1" x14ac:dyDescent="0.35">
      <c r="B91" s="87" t="s">
        <v>66</v>
      </c>
      <c r="C91" s="81" t="e">
        <f>C76/C90</f>
        <v>#DIV/0!</v>
      </c>
      <c r="D91" s="81" t="e">
        <f t="shared" ref="D91:J91" si="72">D76/D90</f>
        <v>#DIV/0!</v>
      </c>
      <c r="E91" s="81" t="e">
        <f t="shared" si="72"/>
        <v>#DIV/0!</v>
      </c>
      <c r="F91" s="81" t="e">
        <f t="shared" si="72"/>
        <v>#DIV/0!</v>
      </c>
      <c r="G91" s="81" t="e">
        <f t="shared" si="72"/>
        <v>#DIV/0!</v>
      </c>
      <c r="H91" s="81" t="e">
        <f t="shared" si="72"/>
        <v>#DIV/0!</v>
      </c>
      <c r="I91" s="81" t="e">
        <f t="shared" ref="I91" si="73">I76/I90</f>
        <v>#DIV/0!</v>
      </c>
      <c r="J91" s="81" t="e">
        <f t="shared" si="72"/>
        <v>#DIV/0!</v>
      </c>
      <c r="K91" s="1"/>
      <c r="L91" s="87" t="s">
        <v>66</v>
      </c>
      <c r="M91" s="81" t="e">
        <f>M76/M90</f>
        <v>#DIV/0!</v>
      </c>
      <c r="N91" s="81" t="e">
        <f t="shared" ref="N91:T91" si="74">N76/N90</f>
        <v>#DIV/0!</v>
      </c>
      <c r="O91" s="81" t="e">
        <f t="shared" si="74"/>
        <v>#DIV/0!</v>
      </c>
      <c r="P91" s="81" t="e">
        <f t="shared" si="74"/>
        <v>#DIV/0!</v>
      </c>
      <c r="Q91" s="81" t="e">
        <f t="shared" si="74"/>
        <v>#DIV/0!</v>
      </c>
      <c r="R91" s="81" t="e">
        <f t="shared" si="74"/>
        <v>#DIV/0!</v>
      </c>
      <c r="S91" s="81" t="e">
        <f t="shared" ref="S91" si="75">S76/S90</f>
        <v>#DIV/0!</v>
      </c>
      <c r="T91" s="81" t="e">
        <f t="shared" si="74"/>
        <v>#DIV/0!</v>
      </c>
    </row>
    <row r="92" spans="2:20" ht="15.75" hidden="1" customHeight="1" x14ac:dyDescent="0.3">
      <c r="B92" s="135" t="s">
        <v>81</v>
      </c>
      <c r="C92" s="136" t="e">
        <f>C91/$C$91</f>
        <v>#DIV/0!</v>
      </c>
      <c r="D92" s="136" t="e">
        <f t="shared" ref="D92:J92" si="76">D91/$C$91</f>
        <v>#DIV/0!</v>
      </c>
      <c r="E92" s="136" t="e">
        <f t="shared" si="76"/>
        <v>#DIV/0!</v>
      </c>
      <c r="F92" s="136" t="e">
        <f t="shared" si="76"/>
        <v>#DIV/0!</v>
      </c>
      <c r="G92" s="136" t="e">
        <f t="shared" si="76"/>
        <v>#DIV/0!</v>
      </c>
      <c r="H92" s="136" t="e">
        <f t="shared" si="76"/>
        <v>#DIV/0!</v>
      </c>
      <c r="I92" s="136" t="e">
        <f t="shared" ref="I92" si="77">I91/$C$91</f>
        <v>#DIV/0!</v>
      </c>
      <c r="J92" s="136" t="e">
        <f t="shared" si="76"/>
        <v>#DIV/0!</v>
      </c>
      <c r="K92" s="1"/>
      <c r="L92" s="135" t="s">
        <v>81</v>
      </c>
      <c r="M92" s="136" t="e">
        <f>M91/$M$91</f>
        <v>#DIV/0!</v>
      </c>
      <c r="N92" s="136" t="e">
        <f t="shared" ref="N92:T92" si="78">N91/$M$91</f>
        <v>#DIV/0!</v>
      </c>
      <c r="O92" s="136" t="e">
        <f t="shared" si="78"/>
        <v>#DIV/0!</v>
      </c>
      <c r="P92" s="136" t="e">
        <f t="shared" si="78"/>
        <v>#DIV/0!</v>
      </c>
      <c r="Q92" s="136" t="e">
        <f t="shared" si="78"/>
        <v>#DIV/0!</v>
      </c>
      <c r="R92" s="136" t="e">
        <f t="shared" si="78"/>
        <v>#DIV/0!</v>
      </c>
      <c r="S92" s="136" t="e">
        <f t="shared" ref="S92" si="79">S91/$M$91</f>
        <v>#DIV/0!</v>
      </c>
      <c r="T92" s="136" t="e">
        <f t="shared" si="78"/>
        <v>#DIV/0!</v>
      </c>
    </row>
  </sheetData>
  <mergeCells count="10">
    <mergeCell ref="L2:M2"/>
    <mergeCell ref="X6:Y6"/>
    <mergeCell ref="L6:T6"/>
    <mergeCell ref="B2:C2"/>
    <mergeCell ref="B6:F6"/>
    <mergeCell ref="B79:J79"/>
    <mergeCell ref="L79:T79"/>
    <mergeCell ref="B27:J27"/>
    <mergeCell ref="B52:J52"/>
    <mergeCell ref="L52:T52"/>
  </mergeCells>
  <pageMargins left="0.7" right="0.7" top="0.75" bottom="0.75" header="0" footer="0"/>
  <pageSetup paperSize="9" fitToWidth="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54503D65-E65A-4F24-8215-92A1DEABE6EE}">
          <x14:formula1>
            <xm:f>'Input keuzevariabelen'!$B$4:$B$9</xm:f>
          </x14:formula1>
          <xm:sqref>M4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DDC59-4C53-4BAA-9B17-E6CA00B66D2A}">
  <dimension ref="B2:S302"/>
  <sheetViews>
    <sheetView showGridLines="0" topLeftCell="A229" zoomScale="90" zoomScaleNormal="90" workbookViewId="0">
      <selection activeCell="E244" sqref="E244"/>
    </sheetView>
  </sheetViews>
  <sheetFormatPr defaultColWidth="8.5" defaultRowHeight="16.2" x14ac:dyDescent="0.3"/>
  <cols>
    <col min="1" max="1" width="3.5" style="2" customWidth="1"/>
    <col min="2" max="2" width="14.69921875" style="2" customWidth="1"/>
    <col min="3" max="3" width="12.69921875" style="248" customWidth="1"/>
    <col min="4" max="4" width="22.69921875" style="2" customWidth="1"/>
    <col min="5" max="5" width="15.8984375" style="2" customWidth="1"/>
    <col min="6" max="6" width="18" style="251" customWidth="1"/>
    <col min="7" max="7" width="33.59765625" style="2" customWidth="1"/>
    <col min="8" max="8" width="16.8984375" style="210" bestFit="1" customWidth="1"/>
    <col min="9" max="9" width="12.5" style="210" customWidth="1"/>
    <col min="10" max="10" width="17" style="251" customWidth="1"/>
    <col min="11" max="11" width="10.19921875" style="251" customWidth="1"/>
    <col min="12" max="12" width="13.19921875" style="253" customWidth="1"/>
    <col min="13" max="13" width="10.09765625" style="255" customWidth="1"/>
    <col min="14" max="14" width="49.8984375" style="2" customWidth="1"/>
    <col min="15" max="15" width="27" style="2" hidden="1" customWidth="1"/>
    <col min="16" max="16" width="44.5" style="2" bestFit="1" customWidth="1"/>
    <col min="17" max="17" width="15.5" style="2" customWidth="1"/>
    <col min="18" max="18" width="15.5" style="208" customWidth="1"/>
    <col min="19" max="16384" width="8.5" style="2"/>
  </cols>
  <sheetData>
    <row r="2" spans="2:18" ht="33.75" customHeight="1" thickBot="1" x14ac:dyDescent="0.35">
      <c r="B2" s="353" t="s">
        <v>82</v>
      </c>
      <c r="C2" s="354"/>
      <c r="D2" s="354"/>
      <c r="E2" s="354"/>
      <c r="F2" s="354"/>
      <c r="G2" s="354"/>
      <c r="H2" s="354"/>
      <c r="I2" s="354"/>
      <c r="J2" s="354"/>
      <c r="K2" s="354"/>
      <c r="L2" s="355"/>
      <c r="M2" s="354"/>
      <c r="N2" s="354"/>
      <c r="O2" s="354"/>
      <c r="P2" s="354"/>
      <c r="Q2" s="354"/>
      <c r="R2" s="354"/>
    </row>
    <row r="3" spans="2:18" s="245" customFormat="1" ht="57" customHeight="1" thickTop="1" thickBot="1" x14ac:dyDescent="0.35">
      <c r="B3" s="238" t="s">
        <v>83</v>
      </c>
      <c r="C3" s="246" t="s">
        <v>84</v>
      </c>
      <c r="D3" s="239" t="s">
        <v>85</v>
      </c>
      <c r="E3" s="240" t="s">
        <v>86</v>
      </c>
      <c r="F3" s="249" t="s">
        <v>87</v>
      </c>
      <c r="G3" s="239" t="s">
        <v>88</v>
      </c>
      <c r="H3" s="241" t="s">
        <v>14</v>
      </c>
      <c r="I3" s="242" t="s">
        <v>89</v>
      </c>
      <c r="J3" s="249" t="s">
        <v>90</v>
      </c>
      <c r="K3" s="249" t="s">
        <v>91</v>
      </c>
      <c r="L3" s="258" t="s">
        <v>92</v>
      </c>
      <c r="M3" s="256" t="s">
        <v>93</v>
      </c>
      <c r="N3" s="239" t="s">
        <v>94</v>
      </c>
      <c r="O3" s="239" t="s">
        <v>95</v>
      </c>
      <c r="P3" s="243" t="s">
        <v>96</v>
      </c>
      <c r="Q3" s="243" t="s">
        <v>97</v>
      </c>
      <c r="R3" s="244" t="s">
        <v>98</v>
      </c>
    </row>
    <row r="4" spans="2:18" s="20" customFormat="1" ht="17.399999999999999" thickTop="1" thickBot="1" x14ac:dyDescent="0.35">
      <c r="B4" s="119" t="s">
        <v>8</v>
      </c>
      <c r="C4" s="247">
        <f>VLOOKUP(B4,'Input keuzevariabelen'!$B:$C,2,FALSE)</f>
        <v>1</v>
      </c>
      <c r="D4" s="120">
        <v>2019</v>
      </c>
      <c r="E4" s="121" t="s">
        <v>10</v>
      </c>
      <c r="F4" s="250" t="str">
        <f>VLOOKUP(G4,'Input keuzevariabelen'!$F:$J,2,FALSE)</f>
        <v>KPI</v>
      </c>
      <c r="G4" s="91" t="s">
        <v>99</v>
      </c>
      <c r="H4" s="233">
        <f>146610367/1000</f>
        <v>146610.367</v>
      </c>
      <c r="I4" s="211">
        <f>H4*C4</f>
        <v>146610.367</v>
      </c>
      <c r="J4" s="91">
        <f>VLOOKUP(G4,'Input keuzevariabelen'!$F:$J,3,FALSE)</f>
        <v>0</v>
      </c>
      <c r="K4" s="91">
        <f>SUMIFS('Input keuzevariabelen'!$I:$I,'Input keuzevariabelen'!$F:$F,Data!G4,'Input keuzevariabelen'!$K:$K,Data!D4)</f>
        <v>0</v>
      </c>
      <c r="L4" s="91">
        <f>VLOOKUP(G4,'Input keuzevariabelen'!$F:$J,5,FALSE)</f>
        <v>0</v>
      </c>
      <c r="M4" s="209">
        <f>I4*K4/1000000</f>
        <v>0</v>
      </c>
      <c r="N4" s="93" t="s">
        <v>100</v>
      </c>
      <c r="O4" s="91"/>
      <c r="P4" s="92"/>
      <c r="Q4" s="91">
        <f>SUMIFS('Input keuzevariabelen'!$P:$P,'Input keuzevariabelen'!$M:$M,Data!G4)</f>
        <v>0</v>
      </c>
      <c r="R4" s="212">
        <f>I4*Q4</f>
        <v>0</v>
      </c>
    </row>
    <row r="5" spans="2:18" s="20" customFormat="1" ht="17.399999999999999" thickTop="1" thickBot="1" x14ac:dyDescent="0.35">
      <c r="B5" s="122" t="s">
        <v>8</v>
      </c>
      <c r="C5" s="247">
        <f>VLOOKUP(B5,'Input keuzevariabelen'!$B:$C,2,FALSE)</f>
        <v>1</v>
      </c>
      <c r="D5" s="120">
        <v>2019</v>
      </c>
      <c r="E5" s="121" t="s">
        <v>10</v>
      </c>
      <c r="F5" s="250">
        <f>VLOOKUP(G5,'Input keuzevariabelen'!$F:$J,2,FALSE)</f>
        <v>2</v>
      </c>
      <c r="G5" s="93" t="s">
        <v>27</v>
      </c>
      <c r="H5" s="233">
        <v>5406947</v>
      </c>
      <c r="I5" s="211">
        <f t="shared" ref="I5:I67" si="0">H5*C5</f>
        <v>5406947</v>
      </c>
      <c r="J5" s="91" t="str">
        <f>VLOOKUP(G5,'Input keuzevariabelen'!$F:$J,3,FALSE)</f>
        <v>kWh</v>
      </c>
      <c r="K5" s="91">
        <f>SUMIFS('Input keuzevariabelen'!$I:$I,'Input keuzevariabelen'!$F:$F,Data!G5,'Input keuzevariabelen'!$K:$K,Data!D5)</f>
        <v>0</v>
      </c>
      <c r="L5" s="91" t="str">
        <f>VLOOKUP(G5,'Input keuzevariabelen'!$F:$J,5,FALSE)</f>
        <v>gram CO2/kWh</v>
      </c>
      <c r="M5" s="209">
        <f t="shared" ref="M5:M67" si="1">I5*K5/1000000</f>
        <v>0</v>
      </c>
      <c r="N5" s="93" t="s">
        <v>101</v>
      </c>
      <c r="O5" s="93" t="s">
        <v>102</v>
      </c>
      <c r="P5" s="94" t="s">
        <v>103</v>
      </c>
      <c r="Q5" s="91">
        <f>SUMIFS('Input keuzevariabelen'!$P:$P,'Input keuzevariabelen'!$M:$M,Data!G5)</f>
        <v>5.2199999999999998E-3</v>
      </c>
      <c r="R5" s="212">
        <f t="shared" ref="R5:R67" si="2">I5*Q5</f>
        <v>28224.263339999998</v>
      </c>
    </row>
    <row r="6" spans="2:18" s="20" customFormat="1" ht="17.399999999999999" thickTop="1" thickBot="1" x14ac:dyDescent="0.35">
      <c r="B6" s="122" t="s">
        <v>8</v>
      </c>
      <c r="C6" s="247">
        <f>VLOOKUP(B6,'Input keuzevariabelen'!$B:$C,2,FALSE)</f>
        <v>1</v>
      </c>
      <c r="D6" s="120">
        <v>2019</v>
      </c>
      <c r="E6" s="121" t="s">
        <v>10</v>
      </c>
      <c r="F6" s="250">
        <f>VLOOKUP(G6,'Input keuzevariabelen'!$F:$J,2,FALSE)</f>
        <v>2</v>
      </c>
      <c r="G6" s="93" t="s">
        <v>27</v>
      </c>
      <c r="H6" s="233">
        <v>538560</v>
      </c>
      <c r="I6" s="211">
        <f t="shared" si="0"/>
        <v>538560</v>
      </c>
      <c r="J6" s="91" t="str">
        <f>VLOOKUP(G6,'Input keuzevariabelen'!$F:$J,3,FALSE)</f>
        <v>kWh</v>
      </c>
      <c r="K6" s="91">
        <f>SUMIFS('Input keuzevariabelen'!$I:$I,'Input keuzevariabelen'!$F:$F,Data!G6,'Input keuzevariabelen'!$K:$K,Data!D6)</f>
        <v>0</v>
      </c>
      <c r="L6" s="91" t="str">
        <f>VLOOKUP(G6,'Input keuzevariabelen'!$F:$J,5,FALSE)</f>
        <v>gram CO2/kWh</v>
      </c>
      <c r="M6" s="209">
        <f t="shared" si="1"/>
        <v>0</v>
      </c>
      <c r="N6" s="96" t="s">
        <v>101</v>
      </c>
      <c r="O6" s="93" t="s">
        <v>102</v>
      </c>
      <c r="P6" s="94" t="s">
        <v>104</v>
      </c>
      <c r="Q6" s="91">
        <f>SUMIFS('Input keuzevariabelen'!$P:$P,'Input keuzevariabelen'!$M:$M,Data!G6)</f>
        <v>5.2199999999999998E-3</v>
      </c>
      <c r="R6" s="212">
        <f t="shared" si="2"/>
        <v>2811.2831999999999</v>
      </c>
    </row>
    <row r="7" spans="2:18" s="20" customFormat="1" ht="17.399999999999999" thickTop="1" thickBot="1" x14ac:dyDescent="0.35">
      <c r="B7" s="122" t="s">
        <v>8</v>
      </c>
      <c r="C7" s="247">
        <f>VLOOKUP(B7,'Input keuzevariabelen'!$B:$C,2,FALSE)</f>
        <v>1</v>
      </c>
      <c r="D7" s="120">
        <v>2019</v>
      </c>
      <c r="E7" s="121" t="s">
        <v>10</v>
      </c>
      <c r="F7" s="250">
        <f>VLOOKUP(G7,'Input keuzevariabelen'!$F:$J,2,FALSE)</f>
        <v>2</v>
      </c>
      <c r="G7" s="93" t="s">
        <v>27</v>
      </c>
      <c r="H7" s="233">
        <v>1946765</v>
      </c>
      <c r="I7" s="211">
        <f t="shared" si="0"/>
        <v>1946765</v>
      </c>
      <c r="J7" s="91" t="str">
        <f>VLOOKUP(G7,'Input keuzevariabelen'!$F:$J,3,FALSE)</f>
        <v>kWh</v>
      </c>
      <c r="K7" s="91">
        <f>SUMIFS('Input keuzevariabelen'!$I:$I,'Input keuzevariabelen'!$F:$F,Data!G7,'Input keuzevariabelen'!$K:$K,Data!D7)</f>
        <v>0</v>
      </c>
      <c r="L7" s="91" t="str">
        <f>VLOOKUP(G7,'Input keuzevariabelen'!$F:$J,5,FALSE)</f>
        <v>gram CO2/kWh</v>
      </c>
      <c r="M7" s="209">
        <f t="shared" si="1"/>
        <v>0</v>
      </c>
      <c r="N7" s="96" t="s">
        <v>101</v>
      </c>
      <c r="O7" s="93" t="s">
        <v>102</v>
      </c>
      <c r="P7" s="94" t="s">
        <v>105</v>
      </c>
      <c r="Q7" s="91">
        <f>SUMIFS('Input keuzevariabelen'!$P:$P,'Input keuzevariabelen'!$M:$M,Data!G7)</f>
        <v>5.2199999999999998E-3</v>
      </c>
      <c r="R7" s="212">
        <f t="shared" si="2"/>
        <v>10162.113299999999</v>
      </c>
    </row>
    <row r="8" spans="2:18" s="20" customFormat="1" ht="17.399999999999999" thickTop="1" thickBot="1" x14ac:dyDescent="0.35">
      <c r="B8" s="122" t="s">
        <v>8</v>
      </c>
      <c r="C8" s="247">
        <f>VLOOKUP(B8,'Input keuzevariabelen'!$B:$C,2,FALSE)</f>
        <v>1</v>
      </c>
      <c r="D8" s="120">
        <v>2019</v>
      </c>
      <c r="E8" s="121" t="s">
        <v>10</v>
      </c>
      <c r="F8" s="250">
        <f>VLOOKUP(G8,'Input keuzevariabelen'!$F:$J,2,FALSE)</f>
        <v>2</v>
      </c>
      <c r="G8" s="93" t="s">
        <v>25</v>
      </c>
      <c r="H8" s="233">
        <v>9625157</v>
      </c>
      <c r="I8" s="211">
        <f t="shared" si="0"/>
        <v>9625157</v>
      </c>
      <c r="J8" s="91" t="str">
        <f>VLOOKUP(G8,'Input keuzevariabelen'!$F:$J,3,FALSE)</f>
        <v>kWh</v>
      </c>
      <c r="K8" s="91">
        <f>SUMIFS('Input keuzevariabelen'!$I:$I,'Input keuzevariabelen'!$F:$F,Data!G8,'Input keuzevariabelen'!$K:$K,Data!D8)</f>
        <v>649</v>
      </c>
      <c r="L8" s="91" t="str">
        <f>VLOOKUP(G8,'Input keuzevariabelen'!$F:$J,5,FALSE)</f>
        <v>gram CO2/kWh</v>
      </c>
      <c r="M8" s="209">
        <f t="shared" si="1"/>
        <v>6246.726893</v>
      </c>
      <c r="N8" s="99" t="s">
        <v>101</v>
      </c>
      <c r="O8" s="93" t="s">
        <v>106</v>
      </c>
      <c r="P8" s="94" t="s">
        <v>107</v>
      </c>
      <c r="Q8" s="91">
        <f>SUMIFS('Input keuzevariabelen'!$P:$P,'Input keuzevariabelen'!$M:$M,Data!G8)</f>
        <v>5.2199999999999998E-3</v>
      </c>
      <c r="R8" s="212">
        <f t="shared" si="2"/>
        <v>50243.319539999997</v>
      </c>
    </row>
    <row r="9" spans="2:18" ht="17.399999999999999" thickTop="1" thickBot="1" x14ac:dyDescent="0.35">
      <c r="B9" s="123" t="s">
        <v>8</v>
      </c>
      <c r="C9" s="247">
        <f>VLOOKUP(B9,'Input keuzevariabelen'!$B:$C,2,FALSE)</f>
        <v>1</v>
      </c>
      <c r="D9" s="120">
        <v>2019</v>
      </c>
      <c r="E9" s="121" t="s">
        <v>10</v>
      </c>
      <c r="F9" s="250">
        <f>VLOOKUP(G9,'Input keuzevariabelen'!$F:$J,2,FALSE)</f>
        <v>2</v>
      </c>
      <c r="G9" s="96" t="s">
        <v>27</v>
      </c>
      <c r="H9" s="233">
        <v>8571299</v>
      </c>
      <c r="I9" s="211">
        <f t="shared" si="0"/>
        <v>8571299</v>
      </c>
      <c r="J9" s="91" t="str">
        <f>VLOOKUP(G9,'Input keuzevariabelen'!$F:$J,3,FALSE)</f>
        <v>kWh</v>
      </c>
      <c r="K9" s="91">
        <f>SUMIFS('Input keuzevariabelen'!$I:$I,'Input keuzevariabelen'!$F:$F,Data!G9,'Input keuzevariabelen'!$K:$K,Data!D9)</f>
        <v>0</v>
      </c>
      <c r="L9" s="91" t="str">
        <f>VLOOKUP(G9,'Input keuzevariabelen'!$F:$J,5,FALSE)</f>
        <v>gram CO2/kWh</v>
      </c>
      <c r="M9" s="209">
        <f t="shared" si="1"/>
        <v>0</v>
      </c>
      <c r="N9" s="99" t="s">
        <v>101</v>
      </c>
      <c r="O9" s="96" t="s">
        <v>102</v>
      </c>
      <c r="P9" s="97" t="s">
        <v>108</v>
      </c>
      <c r="Q9" s="91">
        <f>SUMIFS('Input keuzevariabelen'!$P:$P,'Input keuzevariabelen'!$M:$M,Data!G9)</f>
        <v>5.2199999999999998E-3</v>
      </c>
      <c r="R9" s="212">
        <f t="shared" si="2"/>
        <v>44742.180779999995</v>
      </c>
    </row>
    <row r="10" spans="2:18" ht="17.399999999999999" thickTop="1" thickBot="1" x14ac:dyDescent="0.35">
      <c r="B10" s="123" t="s">
        <v>8</v>
      </c>
      <c r="C10" s="247">
        <f>VLOOKUP(B10,'Input keuzevariabelen'!$B:$C,2,FALSE)</f>
        <v>1</v>
      </c>
      <c r="D10" s="120">
        <v>2019</v>
      </c>
      <c r="E10" s="121" t="s">
        <v>10</v>
      </c>
      <c r="F10" s="250">
        <f>VLOOKUP(G10,'Input keuzevariabelen'!$F:$J,2,FALSE)</f>
        <v>2</v>
      </c>
      <c r="G10" s="96" t="s">
        <v>25</v>
      </c>
      <c r="H10" s="234">
        <v>4465000</v>
      </c>
      <c r="I10" s="211">
        <f t="shared" si="0"/>
        <v>4465000</v>
      </c>
      <c r="J10" s="91" t="str">
        <f>VLOOKUP(G10,'Input keuzevariabelen'!$F:$J,3,FALSE)</f>
        <v>kWh</v>
      </c>
      <c r="K10" s="91">
        <f>SUMIFS('Input keuzevariabelen'!$I:$I,'Input keuzevariabelen'!$F:$F,Data!G10,'Input keuzevariabelen'!$K:$K,Data!D10)</f>
        <v>649</v>
      </c>
      <c r="L10" s="91" t="str">
        <f>VLOOKUP(G10,'Input keuzevariabelen'!$F:$J,5,FALSE)</f>
        <v>gram CO2/kWh</v>
      </c>
      <c r="M10" s="209">
        <f t="shared" si="1"/>
        <v>2897.7849999999999</v>
      </c>
      <c r="N10" s="96" t="s">
        <v>101</v>
      </c>
      <c r="O10" s="96" t="s">
        <v>109</v>
      </c>
      <c r="P10" s="97" t="s">
        <v>110</v>
      </c>
      <c r="Q10" s="91">
        <f>SUMIFS('Input keuzevariabelen'!$P:$P,'Input keuzevariabelen'!$M:$M,Data!G10)</f>
        <v>5.2199999999999998E-3</v>
      </c>
      <c r="R10" s="212">
        <f t="shared" si="2"/>
        <v>23307.3</v>
      </c>
    </row>
    <row r="11" spans="2:18" ht="17.399999999999999" thickTop="1" thickBot="1" x14ac:dyDescent="0.35">
      <c r="B11" s="124" t="s">
        <v>8</v>
      </c>
      <c r="C11" s="247">
        <f>VLOOKUP(B11,'Input keuzevariabelen'!$B:$C,2,FALSE)</f>
        <v>1</v>
      </c>
      <c r="D11" s="120">
        <v>2019</v>
      </c>
      <c r="E11" s="121" t="s">
        <v>10</v>
      </c>
      <c r="F11" s="250">
        <f>VLOOKUP(G11,'Input keuzevariabelen'!$F:$J,2,FALSE)</f>
        <v>2</v>
      </c>
      <c r="G11" s="99" t="s">
        <v>25</v>
      </c>
      <c r="H11" s="233">
        <v>19651233</v>
      </c>
      <c r="I11" s="211">
        <f t="shared" si="0"/>
        <v>19651233</v>
      </c>
      <c r="J11" s="91" t="str">
        <f>VLOOKUP(G11,'Input keuzevariabelen'!$F:$J,3,FALSE)</f>
        <v>kWh</v>
      </c>
      <c r="K11" s="91">
        <f>SUMIFS('Input keuzevariabelen'!$I:$I,'Input keuzevariabelen'!$F:$F,Data!G11,'Input keuzevariabelen'!$K:$K,Data!D11)</f>
        <v>649</v>
      </c>
      <c r="L11" s="91" t="str">
        <f>VLOOKUP(G11,'Input keuzevariabelen'!$F:$J,5,FALSE)</f>
        <v>gram CO2/kWh</v>
      </c>
      <c r="M11" s="209">
        <f t="shared" si="1"/>
        <v>12753.650217</v>
      </c>
      <c r="N11" s="96" t="s">
        <v>101</v>
      </c>
      <c r="O11" s="99" t="s">
        <v>106</v>
      </c>
      <c r="P11" s="100" t="s">
        <v>110</v>
      </c>
      <c r="Q11" s="91">
        <f>SUMIFS('Input keuzevariabelen'!$P:$P,'Input keuzevariabelen'!$M:$M,Data!G11)</f>
        <v>5.2199999999999998E-3</v>
      </c>
      <c r="R11" s="212">
        <f t="shared" si="2"/>
        <v>102579.43626</v>
      </c>
    </row>
    <row r="12" spans="2:18" ht="17.399999999999999" thickTop="1" thickBot="1" x14ac:dyDescent="0.35">
      <c r="B12" s="124" t="s">
        <v>8</v>
      </c>
      <c r="C12" s="247">
        <f>VLOOKUP(B12,'Input keuzevariabelen'!$B:$C,2,FALSE)</f>
        <v>1</v>
      </c>
      <c r="D12" s="120">
        <v>2019</v>
      </c>
      <c r="E12" s="121" t="s">
        <v>10</v>
      </c>
      <c r="F12" s="250">
        <f>VLOOKUP(G12,'Input keuzevariabelen'!$F:$J,2,FALSE)</f>
        <v>2</v>
      </c>
      <c r="G12" s="99" t="s">
        <v>27</v>
      </c>
      <c r="H12" s="233">
        <v>1175145</v>
      </c>
      <c r="I12" s="211">
        <f t="shared" si="0"/>
        <v>1175145</v>
      </c>
      <c r="J12" s="91" t="str">
        <f>VLOOKUP(G12,'Input keuzevariabelen'!$F:$J,3,FALSE)</f>
        <v>kWh</v>
      </c>
      <c r="K12" s="91">
        <f>SUMIFS('Input keuzevariabelen'!$I:$I,'Input keuzevariabelen'!$F:$F,Data!G12,'Input keuzevariabelen'!$K:$K,Data!D12)</f>
        <v>0</v>
      </c>
      <c r="L12" s="91" t="str">
        <f>VLOOKUP(G12,'Input keuzevariabelen'!$F:$J,5,FALSE)</f>
        <v>gram CO2/kWh</v>
      </c>
      <c r="M12" s="209">
        <f t="shared" si="1"/>
        <v>0</v>
      </c>
      <c r="N12" s="96" t="s">
        <v>101</v>
      </c>
      <c r="O12" s="99" t="s">
        <v>111</v>
      </c>
      <c r="P12" s="100" t="s">
        <v>108</v>
      </c>
      <c r="Q12" s="91">
        <f>SUMIFS('Input keuzevariabelen'!$P:$P,'Input keuzevariabelen'!$M:$M,Data!G12)</f>
        <v>5.2199999999999998E-3</v>
      </c>
      <c r="R12" s="212">
        <f t="shared" si="2"/>
        <v>6134.2568999999994</v>
      </c>
    </row>
    <row r="13" spans="2:18" ht="17.399999999999999" thickTop="1" thickBot="1" x14ac:dyDescent="0.35">
      <c r="B13" s="123" t="s">
        <v>8</v>
      </c>
      <c r="C13" s="247">
        <f>VLOOKUP(B13,'Input keuzevariabelen'!$B:$C,2,FALSE)</f>
        <v>1</v>
      </c>
      <c r="D13" s="120">
        <v>2019</v>
      </c>
      <c r="E13" s="121" t="s">
        <v>10</v>
      </c>
      <c r="F13" s="250">
        <f>VLOOKUP(G13,'Input keuzevariabelen'!$F:$J,2,FALSE)</f>
        <v>1</v>
      </c>
      <c r="G13" s="96" t="s">
        <v>18</v>
      </c>
      <c r="H13" s="233">
        <v>32036</v>
      </c>
      <c r="I13" s="211">
        <f t="shared" si="0"/>
        <v>32036</v>
      </c>
      <c r="J13" s="91" t="str">
        <f>VLOOKUP(G13,'Input keuzevariabelen'!$F:$J,3,FALSE)</f>
        <v>m3</v>
      </c>
      <c r="K13" s="91">
        <f>SUMIFS('Input keuzevariabelen'!$I:$I,'Input keuzevariabelen'!$F:$F,Data!G13,'Input keuzevariabelen'!$K:$K,Data!D13)</f>
        <v>1890</v>
      </c>
      <c r="L13" s="91" t="str">
        <f>VLOOKUP(G13,'Input keuzevariabelen'!$F:$J,5,FALSE)</f>
        <v>gram CO2/m3</v>
      </c>
      <c r="M13" s="209">
        <f t="shared" si="1"/>
        <v>60.54804</v>
      </c>
      <c r="N13" s="96" t="s">
        <v>101</v>
      </c>
      <c r="O13" s="96" t="s">
        <v>112</v>
      </c>
      <c r="P13" s="97" t="s">
        <v>103</v>
      </c>
      <c r="Q13" s="91">
        <f>SUMIFS('Input keuzevariabelen'!$P:$P,'Input keuzevariabelen'!$M:$M,Data!G13)</f>
        <v>3.1649999999999998E-2</v>
      </c>
      <c r="R13" s="212">
        <f t="shared" si="2"/>
        <v>1013.9394</v>
      </c>
    </row>
    <row r="14" spans="2:18" ht="17.399999999999999" thickTop="1" thickBot="1" x14ac:dyDescent="0.35">
      <c r="B14" s="123" t="s">
        <v>8</v>
      </c>
      <c r="C14" s="247">
        <f>VLOOKUP(B14,'Input keuzevariabelen'!$B:$C,2,FALSE)</f>
        <v>1</v>
      </c>
      <c r="D14" s="120">
        <v>2019</v>
      </c>
      <c r="E14" s="121" t="s">
        <v>10</v>
      </c>
      <c r="F14" s="250">
        <f>VLOOKUP(G14,'Input keuzevariabelen'!$F:$J,2,FALSE)</f>
        <v>1</v>
      </c>
      <c r="G14" s="96" t="s">
        <v>18</v>
      </c>
      <c r="H14" s="233">
        <v>55816</v>
      </c>
      <c r="I14" s="211">
        <f t="shared" si="0"/>
        <v>55816</v>
      </c>
      <c r="J14" s="91" t="str">
        <f>VLOOKUP(G14,'Input keuzevariabelen'!$F:$J,3,FALSE)</f>
        <v>m3</v>
      </c>
      <c r="K14" s="91">
        <f>SUMIFS('Input keuzevariabelen'!$I:$I,'Input keuzevariabelen'!$F:$F,Data!G14,'Input keuzevariabelen'!$K:$K,Data!D14)</f>
        <v>1890</v>
      </c>
      <c r="L14" s="91" t="str">
        <f>VLOOKUP(G14,'Input keuzevariabelen'!$F:$J,5,FALSE)</f>
        <v>gram CO2/m3</v>
      </c>
      <c r="M14" s="209">
        <f t="shared" si="1"/>
        <v>105.49224</v>
      </c>
      <c r="N14" s="99" t="s">
        <v>101</v>
      </c>
      <c r="O14" s="96" t="s">
        <v>112</v>
      </c>
      <c r="P14" s="97" t="s">
        <v>104</v>
      </c>
      <c r="Q14" s="91">
        <f>SUMIFS('Input keuzevariabelen'!$P:$P,'Input keuzevariabelen'!$M:$M,Data!G14)</f>
        <v>3.1649999999999998E-2</v>
      </c>
      <c r="R14" s="212">
        <f t="shared" si="2"/>
        <v>1766.5763999999999</v>
      </c>
    </row>
    <row r="15" spans="2:18" ht="17.399999999999999" thickTop="1" thickBot="1" x14ac:dyDescent="0.35">
      <c r="B15" s="123" t="s">
        <v>8</v>
      </c>
      <c r="C15" s="247">
        <f>VLOOKUP(B15,'Input keuzevariabelen'!$B:$C,2,FALSE)</f>
        <v>1</v>
      </c>
      <c r="D15" s="120">
        <v>2019</v>
      </c>
      <c r="E15" s="121" t="s">
        <v>10</v>
      </c>
      <c r="F15" s="250">
        <f>VLOOKUP(G15,'Input keuzevariabelen'!$F:$J,2,FALSE)</f>
        <v>1</v>
      </c>
      <c r="G15" s="96" t="s">
        <v>18</v>
      </c>
      <c r="H15" s="233">
        <v>2662</v>
      </c>
      <c r="I15" s="211">
        <f t="shared" si="0"/>
        <v>2662</v>
      </c>
      <c r="J15" s="91" t="str">
        <f>VLOOKUP(G15,'Input keuzevariabelen'!$F:$J,3,FALSE)</f>
        <v>m3</v>
      </c>
      <c r="K15" s="91">
        <f>SUMIFS('Input keuzevariabelen'!$I:$I,'Input keuzevariabelen'!$F:$F,Data!G15,'Input keuzevariabelen'!$K:$K,Data!D15)</f>
        <v>1890</v>
      </c>
      <c r="L15" s="91" t="str">
        <f>VLOOKUP(G15,'Input keuzevariabelen'!$F:$J,5,FALSE)</f>
        <v>gram CO2/m3</v>
      </c>
      <c r="M15" s="209">
        <f t="shared" si="1"/>
        <v>5.03118</v>
      </c>
      <c r="N15" s="99" t="s">
        <v>101</v>
      </c>
      <c r="O15" s="96" t="s">
        <v>112</v>
      </c>
      <c r="P15" s="97" t="s">
        <v>105</v>
      </c>
      <c r="Q15" s="91">
        <f>SUMIFS('Input keuzevariabelen'!$P:$P,'Input keuzevariabelen'!$M:$M,Data!G15)</f>
        <v>3.1649999999999998E-2</v>
      </c>
      <c r="R15" s="212">
        <f t="shared" si="2"/>
        <v>84.252299999999991</v>
      </c>
    </row>
    <row r="16" spans="2:18" ht="17.399999999999999" thickTop="1" thickBot="1" x14ac:dyDescent="0.35">
      <c r="B16" s="123" t="s">
        <v>8</v>
      </c>
      <c r="C16" s="247">
        <f>VLOOKUP(B16,'Input keuzevariabelen'!$B:$C,2,FALSE)</f>
        <v>1</v>
      </c>
      <c r="D16" s="120">
        <v>2019</v>
      </c>
      <c r="E16" s="121" t="s">
        <v>10</v>
      </c>
      <c r="F16" s="250">
        <f>VLOOKUP(G16,'Input keuzevariabelen'!$F:$J,2,FALSE)</f>
        <v>1</v>
      </c>
      <c r="G16" s="96" t="s">
        <v>18</v>
      </c>
      <c r="H16" s="233">
        <v>9335</v>
      </c>
      <c r="I16" s="211">
        <f t="shared" si="0"/>
        <v>9335</v>
      </c>
      <c r="J16" s="91" t="str">
        <f>VLOOKUP(G16,'Input keuzevariabelen'!$F:$J,3,FALSE)</f>
        <v>m3</v>
      </c>
      <c r="K16" s="91">
        <f>SUMIFS('Input keuzevariabelen'!$I:$I,'Input keuzevariabelen'!$F:$F,Data!G16,'Input keuzevariabelen'!$K:$K,Data!D16)</f>
        <v>1890</v>
      </c>
      <c r="L16" s="91" t="str">
        <f>VLOOKUP(G16,'Input keuzevariabelen'!$F:$J,5,FALSE)</f>
        <v>gram CO2/m3</v>
      </c>
      <c r="M16" s="209">
        <f t="shared" si="1"/>
        <v>17.643149999999999</v>
      </c>
      <c r="N16" s="99" t="s">
        <v>101</v>
      </c>
      <c r="O16" s="96" t="s">
        <v>112</v>
      </c>
      <c r="P16" s="97" t="s">
        <v>107</v>
      </c>
      <c r="Q16" s="91">
        <f>SUMIFS('Input keuzevariabelen'!$P:$P,'Input keuzevariabelen'!$M:$M,Data!G16)</f>
        <v>3.1649999999999998E-2</v>
      </c>
      <c r="R16" s="212">
        <f t="shared" si="2"/>
        <v>295.45274999999998</v>
      </c>
    </row>
    <row r="17" spans="2:18" ht="17.399999999999999" thickTop="1" thickBot="1" x14ac:dyDescent="0.35">
      <c r="B17" s="124" t="s">
        <v>8</v>
      </c>
      <c r="C17" s="247">
        <f>VLOOKUP(B17,'Input keuzevariabelen'!$B:$C,2,FALSE)</f>
        <v>1</v>
      </c>
      <c r="D17" s="120">
        <v>2019</v>
      </c>
      <c r="E17" s="121" t="s">
        <v>10</v>
      </c>
      <c r="F17" s="250">
        <f>VLOOKUP(G17,'Input keuzevariabelen'!$F:$J,2,FALSE)</f>
        <v>1</v>
      </c>
      <c r="G17" s="96" t="s">
        <v>18</v>
      </c>
      <c r="H17" s="233">
        <v>423364</v>
      </c>
      <c r="I17" s="211">
        <f t="shared" si="0"/>
        <v>423364</v>
      </c>
      <c r="J17" s="91" t="str">
        <f>VLOOKUP(G17,'Input keuzevariabelen'!$F:$J,3,FALSE)</f>
        <v>m3</v>
      </c>
      <c r="K17" s="91">
        <f>SUMIFS('Input keuzevariabelen'!$I:$I,'Input keuzevariabelen'!$F:$F,Data!G17,'Input keuzevariabelen'!$K:$K,Data!D17)</f>
        <v>1890</v>
      </c>
      <c r="L17" s="91" t="str">
        <f>VLOOKUP(G17,'Input keuzevariabelen'!$F:$J,5,FALSE)</f>
        <v>gram CO2/m3</v>
      </c>
      <c r="M17" s="209">
        <f t="shared" si="1"/>
        <v>800.15796</v>
      </c>
      <c r="N17" s="99" t="s">
        <v>101</v>
      </c>
      <c r="O17" s="99" t="s">
        <v>112</v>
      </c>
      <c r="P17" s="100" t="s">
        <v>108</v>
      </c>
      <c r="Q17" s="91">
        <f>SUMIFS('Input keuzevariabelen'!$P:$P,'Input keuzevariabelen'!$M:$M,Data!G17)</f>
        <v>3.1649999999999998E-2</v>
      </c>
      <c r="R17" s="212">
        <f t="shared" si="2"/>
        <v>13399.470599999999</v>
      </c>
    </row>
    <row r="18" spans="2:18" ht="17.399999999999999" thickTop="1" thickBot="1" x14ac:dyDescent="0.35">
      <c r="B18" s="124" t="s">
        <v>8</v>
      </c>
      <c r="C18" s="247">
        <f>VLOOKUP(B18,'Input keuzevariabelen'!$B:$C,2,FALSE)</f>
        <v>1</v>
      </c>
      <c r="D18" s="120">
        <v>2019</v>
      </c>
      <c r="E18" s="121" t="s">
        <v>10</v>
      </c>
      <c r="F18" s="250">
        <f>VLOOKUP(G18,'Input keuzevariabelen'!$F:$J,2,FALSE)</f>
        <v>1</v>
      </c>
      <c r="G18" s="96" t="s">
        <v>18</v>
      </c>
      <c r="H18" s="233">
        <v>327133</v>
      </c>
      <c r="I18" s="211">
        <f t="shared" si="0"/>
        <v>327133</v>
      </c>
      <c r="J18" s="91" t="str">
        <f>VLOOKUP(G18,'Input keuzevariabelen'!$F:$J,3,FALSE)</f>
        <v>m3</v>
      </c>
      <c r="K18" s="91">
        <f>SUMIFS('Input keuzevariabelen'!$I:$I,'Input keuzevariabelen'!$F:$F,Data!G18,'Input keuzevariabelen'!$K:$K,Data!D18)</f>
        <v>1890</v>
      </c>
      <c r="L18" s="91" t="str">
        <f>VLOOKUP(G18,'Input keuzevariabelen'!$F:$J,5,FALSE)</f>
        <v>gram CO2/m3</v>
      </c>
      <c r="M18" s="209">
        <f t="shared" si="1"/>
        <v>618.28137000000004</v>
      </c>
      <c r="N18" s="99" t="s">
        <v>101</v>
      </c>
      <c r="O18" s="99" t="s">
        <v>112</v>
      </c>
      <c r="P18" s="100" t="s">
        <v>110</v>
      </c>
      <c r="Q18" s="91">
        <f>SUMIFS('Input keuzevariabelen'!$P:$P,'Input keuzevariabelen'!$M:$M,Data!G18)</f>
        <v>3.1649999999999998E-2</v>
      </c>
      <c r="R18" s="212">
        <f t="shared" si="2"/>
        <v>10353.75945</v>
      </c>
    </row>
    <row r="19" spans="2:18" ht="17.399999999999999" thickTop="1" thickBot="1" x14ac:dyDescent="0.35">
      <c r="B19" s="124" t="s">
        <v>8</v>
      </c>
      <c r="C19" s="247">
        <f>VLOOKUP(B19,'Input keuzevariabelen'!$B:$C,2,FALSE)</f>
        <v>1</v>
      </c>
      <c r="D19" s="120">
        <v>2019</v>
      </c>
      <c r="E19" s="121" t="s">
        <v>10</v>
      </c>
      <c r="F19" s="250" t="str">
        <f>VLOOKUP(G19,'Input keuzevariabelen'!$F:$J,2,FALSE)</f>
        <v>Memo</v>
      </c>
      <c r="G19" s="99" t="s">
        <v>40</v>
      </c>
      <c r="H19" s="233">
        <v>538873</v>
      </c>
      <c r="I19" s="211">
        <f t="shared" si="0"/>
        <v>538873</v>
      </c>
      <c r="J19" s="91" t="str">
        <f>VLOOKUP(G19,'Input keuzevariabelen'!$F:$J,3,FALSE)</f>
        <v>m3</v>
      </c>
      <c r="K19" s="91">
        <f>SUMIFS('Input keuzevariabelen'!$I:$I,'Input keuzevariabelen'!$F:$F,Data!G19,'Input keuzevariabelen'!$K:$K,Data!D19)</f>
        <v>1962</v>
      </c>
      <c r="L19" s="91" t="str">
        <f>VLOOKUP(G19,'Input keuzevariabelen'!$F:$J,5,FALSE)</f>
        <v>gram CO2/m3</v>
      </c>
      <c r="M19" s="209"/>
      <c r="N19" s="99" t="s">
        <v>101</v>
      </c>
      <c r="O19" s="99" t="s">
        <v>113</v>
      </c>
      <c r="P19" s="100" t="s">
        <v>105</v>
      </c>
      <c r="Q19" s="91">
        <f>SUMIFS('Input keuzevariabelen'!$P:$P,'Input keuzevariabelen'!$M:$M,Data!G19)</f>
        <v>0</v>
      </c>
      <c r="R19" s="212">
        <f t="shared" si="2"/>
        <v>0</v>
      </c>
    </row>
    <row r="20" spans="2:18" ht="17.399999999999999" thickTop="1" thickBot="1" x14ac:dyDescent="0.35">
      <c r="B20" s="124" t="s">
        <v>8</v>
      </c>
      <c r="C20" s="247">
        <f>VLOOKUP(B20,'Input keuzevariabelen'!$B:$C,2,FALSE)</f>
        <v>1</v>
      </c>
      <c r="D20" s="120">
        <v>2019</v>
      </c>
      <c r="E20" s="121" t="s">
        <v>10</v>
      </c>
      <c r="F20" s="250" t="str">
        <f>VLOOKUP(G20,'Input keuzevariabelen'!$F:$J,2,FALSE)</f>
        <v>Memo</v>
      </c>
      <c r="G20" s="99" t="s">
        <v>40</v>
      </c>
      <c r="H20" s="233">
        <v>3109226</v>
      </c>
      <c r="I20" s="211">
        <f t="shared" si="0"/>
        <v>3109226</v>
      </c>
      <c r="J20" s="91" t="str">
        <f>VLOOKUP(G20,'Input keuzevariabelen'!$F:$J,3,FALSE)</f>
        <v>m3</v>
      </c>
      <c r="K20" s="91">
        <f>SUMIFS('Input keuzevariabelen'!$I:$I,'Input keuzevariabelen'!$F:$F,Data!G20,'Input keuzevariabelen'!$K:$K,Data!D20)</f>
        <v>1962</v>
      </c>
      <c r="L20" s="91" t="str">
        <f>VLOOKUP(G20,'Input keuzevariabelen'!$F:$J,5,FALSE)</f>
        <v>gram CO2/m3</v>
      </c>
      <c r="M20" s="209"/>
      <c r="N20" s="99" t="s">
        <v>101</v>
      </c>
      <c r="O20" s="99" t="s">
        <v>113</v>
      </c>
      <c r="P20" s="100" t="s">
        <v>107</v>
      </c>
      <c r="Q20" s="91">
        <f>SUMIFS('Input keuzevariabelen'!$P:$P,'Input keuzevariabelen'!$M:$M,Data!G20)</f>
        <v>0</v>
      </c>
      <c r="R20" s="212">
        <f t="shared" si="2"/>
        <v>0</v>
      </c>
    </row>
    <row r="21" spans="2:18" ht="17.399999999999999" thickTop="1" thickBot="1" x14ac:dyDescent="0.35">
      <c r="B21" s="124" t="s">
        <v>8</v>
      </c>
      <c r="C21" s="247">
        <f>VLOOKUP(B21,'Input keuzevariabelen'!$B:$C,2,FALSE)</f>
        <v>1</v>
      </c>
      <c r="D21" s="120">
        <v>2019</v>
      </c>
      <c r="E21" s="121" t="s">
        <v>10</v>
      </c>
      <c r="F21" s="250" t="str">
        <f>VLOOKUP(G21,'Input keuzevariabelen'!$F:$J,2,FALSE)</f>
        <v>Memo</v>
      </c>
      <c r="G21" s="99" t="s">
        <v>40</v>
      </c>
      <c r="H21" s="233">
        <v>4599007</v>
      </c>
      <c r="I21" s="211">
        <f t="shared" si="0"/>
        <v>4599007</v>
      </c>
      <c r="J21" s="91" t="str">
        <f>VLOOKUP(G21,'Input keuzevariabelen'!$F:$J,3,FALSE)</f>
        <v>m3</v>
      </c>
      <c r="K21" s="91">
        <f>SUMIFS('Input keuzevariabelen'!$I:$I,'Input keuzevariabelen'!$F:$F,Data!G21,'Input keuzevariabelen'!$K:$K,Data!D21)</f>
        <v>1962</v>
      </c>
      <c r="L21" s="91" t="str">
        <f>VLOOKUP(G21,'Input keuzevariabelen'!$F:$J,5,FALSE)</f>
        <v>gram CO2/m3</v>
      </c>
      <c r="M21" s="209"/>
      <c r="N21" s="99" t="s">
        <v>101</v>
      </c>
      <c r="O21" s="99" t="s">
        <v>113</v>
      </c>
      <c r="P21" s="100" t="s">
        <v>110</v>
      </c>
      <c r="Q21" s="91">
        <f>SUMIFS('Input keuzevariabelen'!$P:$P,'Input keuzevariabelen'!$M:$M,Data!G21)</f>
        <v>0</v>
      </c>
      <c r="R21" s="212">
        <f t="shared" si="2"/>
        <v>0</v>
      </c>
    </row>
    <row r="22" spans="2:18" ht="17.399999999999999" thickTop="1" thickBot="1" x14ac:dyDescent="0.35">
      <c r="B22" s="124" t="s">
        <v>8</v>
      </c>
      <c r="C22" s="247">
        <f>VLOOKUP(B22,'Input keuzevariabelen'!$B:$C,2,FALSE)</f>
        <v>1</v>
      </c>
      <c r="D22" s="120">
        <v>2019</v>
      </c>
      <c r="E22" s="121" t="s">
        <v>10</v>
      </c>
      <c r="F22" s="250" t="str">
        <f>VLOOKUP(G22,'Input keuzevariabelen'!$F:$J,2,FALSE)</f>
        <v>Memo</v>
      </c>
      <c r="G22" s="99" t="s">
        <v>42</v>
      </c>
      <c r="H22" s="233">
        <v>6410</v>
      </c>
      <c r="I22" s="211">
        <f t="shared" si="0"/>
        <v>6410</v>
      </c>
      <c r="J22" s="91" t="str">
        <f>VLOOKUP(G22,'Input keuzevariabelen'!$F:$J,3,FALSE)</f>
        <v>m3</v>
      </c>
      <c r="K22" s="91">
        <f>SUMIFS('Input keuzevariabelen'!$I:$I,'Input keuzevariabelen'!$F:$F,Data!G22,'Input keuzevariabelen'!$K:$K,Data!D22)</f>
        <v>1962</v>
      </c>
      <c r="L22" s="91" t="str">
        <f>VLOOKUP(G22,'Input keuzevariabelen'!$F:$J,5,FALSE)</f>
        <v>gram CO2/m3</v>
      </c>
      <c r="M22" s="209"/>
      <c r="N22" s="99" t="s">
        <v>101</v>
      </c>
      <c r="O22" s="99" t="s">
        <v>114</v>
      </c>
      <c r="P22" s="100" t="s">
        <v>105</v>
      </c>
      <c r="Q22" s="91">
        <f>SUMIFS('Input keuzevariabelen'!$P:$P,'Input keuzevariabelen'!$M:$M,Data!G22)</f>
        <v>0</v>
      </c>
      <c r="R22" s="212">
        <f t="shared" si="2"/>
        <v>0</v>
      </c>
    </row>
    <row r="23" spans="2:18" ht="17.399999999999999" thickTop="1" thickBot="1" x14ac:dyDescent="0.35">
      <c r="B23" s="124" t="s">
        <v>8</v>
      </c>
      <c r="C23" s="247">
        <f>VLOOKUP(B23,'Input keuzevariabelen'!$B:$C,2,FALSE)</f>
        <v>1</v>
      </c>
      <c r="D23" s="120">
        <v>2019</v>
      </c>
      <c r="E23" s="121" t="s">
        <v>10</v>
      </c>
      <c r="F23" s="250" t="str">
        <f>VLOOKUP(G23,'Input keuzevariabelen'!$F:$J,2,FALSE)</f>
        <v>Memo</v>
      </c>
      <c r="G23" s="99" t="s">
        <v>42</v>
      </c>
      <c r="H23" s="233">
        <v>14568</v>
      </c>
      <c r="I23" s="211">
        <f t="shared" si="0"/>
        <v>14568</v>
      </c>
      <c r="J23" s="91" t="str">
        <f>VLOOKUP(G23,'Input keuzevariabelen'!$F:$J,3,FALSE)</f>
        <v>m3</v>
      </c>
      <c r="K23" s="91">
        <f>SUMIFS('Input keuzevariabelen'!$I:$I,'Input keuzevariabelen'!$F:$F,Data!G23,'Input keuzevariabelen'!$K:$K,Data!D23)</f>
        <v>1962</v>
      </c>
      <c r="L23" s="91" t="str">
        <f>VLOOKUP(G23,'Input keuzevariabelen'!$F:$J,5,FALSE)</f>
        <v>gram CO2/m3</v>
      </c>
      <c r="M23" s="209"/>
      <c r="N23" s="96" t="s">
        <v>101</v>
      </c>
      <c r="O23" s="99" t="s">
        <v>114</v>
      </c>
      <c r="P23" s="100" t="s">
        <v>107</v>
      </c>
      <c r="Q23" s="91">
        <f>SUMIFS('Input keuzevariabelen'!$P:$P,'Input keuzevariabelen'!$M:$M,Data!G23)</f>
        <v>0</v>
      </c>
      <c r="R23" s="212">
        <f t="shared" si="2"/>
        <v>0</v>
      </c>
    </row>
    <row r="24" spans="2:18" ht="17.399999999999999" thickTop="1" thickBot="1" x14ac:dyDescent="0.35">
      <c r="B24" s="124" t="s">
        <v>8</v>
      </c>
      <c r="C24" s="247">
        <f>VLOOKUP(B24,'Input keuzevariabelen'!$B:$C,2,FALSE)</f>
        <v>1</v>
      </c>
      <c r="D24" s="120">
        <v>2019</v>
      </c>
      <c r="E24" s="121" t="s">
        <v>10</v>
      </c>
      <c r="F24" s="250" t="str">
        <f>VLOOKUP(G24,'Input keuzevariabelen'!$F:$J,2,FALSE)</f>
        <v>Memo</v>
      </c>
      <c r="G24" s="99" t="s">
        <v>42</v>
      </c>
      <c r="H24" s="233">
        <v>18947</v>
      </c>
      <c r="I24" s="211">
        <f t="shared" si="0"/>
        <v>18947</v>
      </c>
      <c r="J24" s="91" t="str">
        <f>VLOOKUP(G24,'Input keuzevariabelen'!$F:$J,3,FALSE)</f>
        <v>m3</v>
      </c>
      <c r="K24" s="91">
        <f>SUMIFS('Input keuzevariabelen'!$I:$I,'Input keuzevariabelen'!$F:$F,Data!G24,'Input keuzevariabelen'!$K:$K,Data!D24)</f>
        <v>1962</v>
      </c>
      <c r="L24" s="91" t="str">
        <f>VLOOKUP(G24,'Input keuzevariabelen'!$F:$J,5,FALSE)</f>
        <v>gram CO2/m3</v>
      </c>
      <c r="M24" s="209"/>
      <c r="N24" s="96" t="s">
        <v>101</v>
      </c>
      <c r="O24" s="99" t="s">
        <v>114</v>
      </c>
      <c r="P24" s="100" t="s">
        <v>108</v>
      </c>
      <c r="Q24" s="91">
        <f>SUMIFS('Input keuzevariabelen'!$P:$P,'Input keuzevariabelen'!$M:$M,Data!G24)</f>
        <v>0</v>
      </c>
      <c r="R24" s="212">
        <f t="shared" si="2"/>
        <v>0</v>
      </c>
    </row>
    <row r="25" spans="2:18" ht="17.399999999999999" thickTop="1" thickBot="1" x14ac:dyDescent="0.35">
      <c r="B25" s="124" t="s">
        <v>8</v>
      </c>
      <c r="C25" s="247">
        <f>VLOOKUP(B25,'Input keuzevariabelen'!$B:$C,2,FALSE)</f>
        <v>1</v>
      </c>
      <c r="D25" s="120">
        <v>2019</v>
      </c>
      <c r="E25" s="121" t="s">
        <v>10</v>
      </c>
      <c r="F25" s="250" t="str">
        <f>VLOOKUP(G25,'Input keuzevariabelen'!$F:$J,2,FALSE)</f>
        <v>Memo</v>
      </c>
      <c r="G25" s="99" t="s">
        <v>42</v>
      </c>
      <c r="H25" s="233">
        <v>54179</v>
      </c>
      <c r="I25" s="211">
        <f t="shared" si="0"/>
        <v>54179</v>
      </c>
      <c r="J25" s="91" t="str">
        <f>VLOOKUP(G25,'Input keuzevariabelen'!$F:$J,3,FALSE)</f>
        <v>m3</v>
      </c>
      <c r="K25" s="91">
        <f>SUMIFS('Input keuzevariabelen'!$I:$I,'Input keuzevariabelen'!$F:$F,Data!G25,'Input keuzevariabelen'!$K:$K,Data!D25)</f>
        <v>1962</v>
      </c>
      <c r="L25" s="91" t="str">
        <f>VLOOKUP(G25,'Input keuzevariabelen'!$F:$J,5,FALSE)</f>
        <v>gram CO2/m3</v>
      </c>
      <c r="M25" s="209"/>
      <c r="N25" s="96" t="s">
        <v>101</v>
      </c>
      <c r="O25" s="99" t="s">
        <v>114</v>
      </c>
      <c r="P25" s="100" t="s">
        <v>110</v>
      </c>
      <c r="Q25" s="91">
        <f>SUMIFS('Input keuzevariabelen'!$P:$P,'Input keuzevariabelen'!$M:$M,Data!G25)</f>
        <v>0</v>
      </c>
      <c r="R25" s="212">
        <f t="shared" si="2"/>
        <v>0</v>
      </c>
    </row>
    <row r="26" spans="2:18" ht="17.399999999999999" thickTop="1" thickBot="1" x14ac:dyDescent="0.35">
      <c r="B26" s="123" t="s">
        <v>8</v>
      </c>
      <c r="C26" s="247">
        <f>VLOOKUP(B26,'Input keuzevariabelen'!$B:$C,2,FALSE)</f>
        <v>1</v>
      </c>
      <c r="D26" s="120">
        <v>2019</v>
      </c>
      <c r="E26" s="121" t="s">
        <v>10</v>
      </c>
      <c r="F26" s="250">
        <f>VLOOKUP(G26,'Input keuzevariabelen'!$F:$J,2,FALSE)</f>
        <v>1</v>
      </c>
      <c r="G26" s="96" t="s">
        <v>20</v>
      </c>
      <c r="H26" s="233">
        <v>3111</v>
      </c>
      <c r="I26" s="211">
        <f t="shared" si="0"/>
        <v>3111</v>
      </c>
      <c r="J26" s="91" t="str">
        <f>VLOOKUP(G26,'Input keuzevariabelen'!$F:$J,3,FALSE)</f>
        <v>liter</v>
      </c>
      <c r="K26" s="91">
        <f>SUMIFS('Input keuzevariabelen'!$I:$I,'Input keuzevariabelen'!$F:$F,Data!G26,'Input keuzevariabelen'!$K:$K,Data!D26)</f>
        <v>3309</v>
      </c>
      <c r="L26" s="91" t="str">
        <f>VLOOKUP(G26,'Input keuzevariabelen'!$F:$J,5,FALSE)</f>
        <v>gram CO2/liter</v>
      </c>
      <c r="M26" s="209">
        <f t="shared" si="1"/>
        <v>10.294299000000001</v>
      </c>
      <c r="N26" s="96" t="s">
        <v>101</v>
      </c>
      <c r="O26" s="96" t="s">
        <v>115</v>
      </c>
      <c r="P26" s="97" t="s">
        <v>110</v>
      </c>
      <c r="Q26" s="91">
        <f>SUMIFS('Input keuzevariabelen'!$P:$P,'Input keuzevariabelen'!$M:$M,Data!G26)</f>
        <v>3.6299999999999999E-2</v>
      </c>
      <c r="R26" s="212">
        <f t="shared" si="2"/>
        <v>112.9293</v>
      </c>
    </row>
    <row r="27" spans="2:18" ht="17.399999999999999" thickTop="1" thickBot="1" x14ac:dyDescent="0.35">
      <c r="B27" s="123" t="s">
        <v>8</v>
      </c>
      <c r="C27" s="247">
        <f>VLOOKUP(B27,'Input keuzevariabelen'!$B:$C,2,FALSE)</f>
        <v>1</v>
      </c>
      <c r="D27" s="120">
        <v>2019</v>
      </c>
      <c r="E27" s="121" t="s">
        <v>10</v>
      </c>
      <c r="F27" s="250">
        <f>VLOOKUP(G27,'Input keuzevariabelen'!$F:$J,2,FALSE)</f>
        <v>1</v>
      </c>
      <c r="G27" s="96" t="s">
        <v>22</v>
      </c>
      <c r="H27" s="233">
        <v>28156</v>
      </c>
      <c r="I27" s="211">
        <f t="shared" si="0"/>
        <v>28156</v>
      </c>
      <c r="J27" s="91" t="str">
        <f>VLOOKUP(G27,'Input keuzevariabelen'!$F:$J,3,FALSE)</f>
        <v>liter</v>
      </c>
      <c r="K27" s="91">
        <f>SUMIFS('Input keuzevariabelen'!$I:$I,'Input keuzevariabelen'!$F:$F,Data!G27,'Input keuzevariabelen'!$K:$K,Data!D27)</f>
        <v>2884</v>
      </c>
      <c r="L27" s="91" t="str">
        <f>VLOOKUP(G27,'Input keuzevariabelen'!$F:$J,5,FALSE)</f>
        <v>gram CO2/liter</v>
      </c>
      <c r="M27" s="209">
        <f t="shared" si="1"/>
        <v>81.201903999999999</v>
      </c>
      <c r="N27" s="99" t="s">
        <v>116</v>
      </c>
      <c r="O27" s="96" t="s">
        <v>117</v>
      </c>
      <c r="P27" s="97"/>
      <c r="Q27" s="91">
        <f>SUMIFS('Input keuzevariabelen'!$P:$P,'Input keuzevariabelen'!$M:$M,Data!G27)</f>
        <v>3.1E-2</v>
      </c>
      <c r="R27" s="212">
        <f t="shared" si="2"/>
        <v>872.83600000000001</v>
      </c>
    </row>
    <row r="28" spans="2:18" ht="17.399999999999999" thickTop="1" thickBot="1" x14ac:dyDescent="0.35">
      <c r="B28" s="123" t="s">
        <v>8</v>
      </c>
      <c r="C28" s="247">
        <f>VLOOKUP(B28,'Input keuzevariabelen'!$B:$C,2,FALSE)</f>
        <v>1</v>
      </c>
      <c r="D28" s="120">
        <v>2019</v>
      </c>
      <c r="E28" s="121" t="s">
        <v>10</v>
      </c>
      <c r="F28" s="250">
        <f>VLOOKUP(G28,'Input keuzevariabelen'!$F:$J,2,FALSE)</f>
        <v>1</v>
      </c>
      <c r="G28" s="96" t="s">
        <v>20</v>
      </c>
      <c r="H28" s="233">
        <v>30866</v>
      </c>
      <c r="I28" s="211">
        <f t="shared" si="0"/>
        <v>30866</v>
      </c>
      <c r="J28" s="91" t="str">
        <f>VLOOKUP(G28,'Input keuzevariabelen'!$F:$J,3,FALSE)</f>
        <v>liter</v>
      </c>
      <c r="K28" s="91">
        <f>SUMIFS('Input keuzevariabelen'!$I:$I,'Input keuzevariabelen'!$F:$F,Data!G28,'Input keuzevariabelen'!$K:$K,Data!D28)</f>
        <v>3309</v>
      </c>
      <c r="L28" s="91" t="str">
        <f>VLOOKUP(G28,'Input keuzevariabelen'!$F:$J,5,FALSE)</f>
        <v>gram CO2/liter</v>
      </c>
      <c r="M28" s="209">
        <f t="shared" si="1"/>
        <v>102.135594</v>
      </c>
      <c r="N28" s="99" t="s">
        <v>116</v>
      </c>
      <c r="O28" s="96" t="s">
        <v>118</v>
      </c>
      <c r="P28" s="97"/>
      <c r="Q28" s="91">
        <f>SUMIFS('Input keuzevariabelen'!$P:$P,'Input keuzevariabelen'!$M:$M,Data!G28)</f>
        <v>3.6299999999999999E-2</v>
      </c>
      <c r="R28" s="212">
        <f t="shared" si="2"/>
        <v>1120.4358</v>
      </c>
    </row>
    <row r="29" spans="2:18" ht="17.399999999999999" thickTop="1" thickBot="1" x14ac:dyDescent="0.35">
      <c r="B29" s="123" t="s">
        <v>8</v>
      </c>
      <c r="C29" s="247">
        <f>VLOOKUP(B29,'Input keuzevariabelen'!$B:$C,2,FALSE)</f>
        <v>1</v>
      </c>
      <c r="D29" s="120">
        <v>2019</v>
      </c>
      <c r="E29" s="121" t="s">
        <v>10</v>
      </c>
      <c r="F29" s="250">
        <f>VLOOKUP(G29,'Input keuzevariabelen'!$F:$J,2,FALSE)</f>
        <v>2</v>
      </c>
      <c r="G29" s="96" t="s">
        <v>28</v>
      </c>
      <c r="H29" s="233">
        <v>143</v>
      </c>
      <c r="I29" s="211">
        <f t="shared" si="0"/>
        <v>143</v>
      </c>
      <c r="J29" s="91" t="str">
        <f>VLOOKUP(G29,'Input keuzevariabelen'!$F:$J,3,FALSE)</f>
        <v>kWh</v>
      </c>
      <c r="K29" s="91">
        <f>SUMIFS('Input keuzevariabelen'!$I:$I,'Input keuzevariabelen'!$F:$F,Data!G29,'Input keuzevariabelen'!$K:$K,Data!D29)</f>
        <v>649</v>
      </c>
      <c r="L29" s="91" t="str">
        <f>VLOOKUP(G29,'Input keuzevariabelen'!$F:$J,5,FALSE)</f>
        <v>gram CO2/kWh</v>
      </c>
      <c r="M29" s="209">
        <f t="shared" si="1"/>
        <v>9.2807000000000001E-2</v>
      </c>
      <c r="N29" s="99" t="s">
        <v>116</v>
      </c>
      <c r="O29" s="96" t="s">
        <v>119</v>
      </c>
      <c r="P29" s="97"/>
      <c r="Q29" s="91">
        <f>SUMIFS('Input keuzevariabelen'!$P:$P,'Input keuzevariabelen'!$M:$M,Data!G29)</f>
        <v>5.2199999999999998E-3</v>
      </c>
      <c r="R29" s="212">
        <f t="shared" si="2"/>
        <v>0.74646000000000001</v>
      </c>
    </row>
    <row r="30" spans="2:18" ht="17.399999999999999" thickTop="1" thickBot="1" x14ac:dyDescent="0.35">
      <c r="B30" s="124" t="s">
        <v>8</v>
      </c>
      <c r="C30" s="247">
        <f>VLOOKUP(B30,'Input keuzevariabelen'!$B:$C,2,FALSE)</f>
        <v>1</v>
      </c>
      <c r="D30" s="120">
        <v>2019</v>
      </c>
      <c r="E30" s="121" t="s">
        <v>10</v>
      </c>
      <c r="F30" s="250" t="str">
        <f>VLOOKUP(G30,'Input keuzevariabelen'!$F:$J,2,FALSE)</f>
        <v>bt</v>
      </c>
      <c r="G30" s="99" t="s">
        <v>31</v>
      </c>
      <c r="H30" s="233">
        <v>418249</v>
      </c>
      <c r="I30" s="211">
        <f t="shared" si="0"/>
        <v>418249</v>
      </c>
      <c r="J30" s="91" t="str">
        <f>VLOOKUP(G30,'Input keuzevariabelen'!$F:$J,3,FALSE)</f>
        <v>km</v>
      </c>
      <c r="K30" s="91">
        <f>SUMIFS('Input keuzevariabelen'!$I:$I,'Input keuzevariabelen'!$F:$F,Data!G30,'Input keuzevariabelen'!$K:$K,Data!D30)</f>
        <v>220</v>
      </c>
      <c r="L30" s="91" t="str">
        <f>VLOOKUP(G30,'Input keuzevariabelen'!$F:$J,5,FALSE)</f>
        <v>gram CO2/km</v>
      </c>
      <c r="M30" s="209">
        <f t="shared" si="1"/>
        <v>92.014780000000002</v>
      </c>
      <c r="N30" s="99" t="s">
        <v>116</v>
      </c>
      <c r="O30" s="99" t="s">
        <v>120</v>
      </c>
      <c r="P30" s="100"/>
      <c r="Q30" s="91">
        <f>SUMIFS('Input keuzevariabelen'!$P:$P,'Input keuzevariabelen'!$M:$M,Data!G30)</f>
        <v>0</v>
      </c>
      <c r="R30" s="212">
        <f t="shared" si="2"/>
        <v>0</v>
      </c>
    </row>
    <row r="31" spans="2:18" ht="17.399999999999999" thickTop="1" thickBot="1" x14ac:dyDescent="0.35">
      <c r="B31" s="124" t="s">
        <v>8</v>
      </c>
      <c r="C31" s="247">
        <f>VLOOKUP(B31,'Input keuzevariabelen'!$B:$C,2,FALSE)</f>
        <v>1</v>
      </c>
      <c r="D31" s="120">
        <v>2019</v>
      </c>
      <c r="E31" s="121" t="s">
        <v>10</v>
      </c>
      <c r="F31" s="250" t="str">
        <f>VLOOKUP(G31,'Input keuzevariabelen'!$F:$J,2,FALSE)</f>
        <v>bt</v>
      </c>
      <c r="G31" s="99" t="s">
        <v>31</v>
      </c>
      <c r="H31" s="233">
        <v>1700485</v>
      </c>
      <c r="I31" s="211">
        <f t="shared" si="0"/>
        <v>1700485</v>
      </c>
      <c r="J31" s="91" t="str">
        <f>VLOOKUP(G31,'Input keuzevariabelen'!$F:$J,3,FALSE)</f>
        <v>km</v>
      </c>
      <c r="K31" s="91">
        <f>SUMIFS('Input keuzevariabelen'!$I:$I,'Input keuzevariabelen'!$F:$F,Data!G31,'Input keuzevariabelen'!$K:$K,Data!D31)</f>
        <v>220</v>
      </c>
      <c r="L31" s="91" t="str">
        <f>VLOOKUP(G31,'Input keuzevariabelen'!$F:$J,5,FALSE)</f>
        <v>gram CO2/km</v>
      </c>
      <c r="M31" s="209">
        <f t="shared" si="1"/>
        <v>374.10669999999999</v>
      </c>
      <c r="N31" s="96" t="s">
        <v>116</v>
      </c>
      <c r="O31" s="99" t="s">
        <v>121</v>
      </c>
      <c r="P31" s="100"/>
      <c r="Q31" s="91">
        <f>SUMIFS('Input keuzevariabelen'!$P:$P,'Input keuzevariabelen'!$M:$M,Data!G31)</f>
        <v>0</v>
      </c>
      <c r="R31" s="212">
        <f t="shared" si="2"/>
        <v>0</v>
      </c>
    </row>
    <row r="32" spans="2:18" ht="17.399999999999999" thickTop="1" thickBot="1" x14ac:dyDescent="0.35">
      <c r="B32" s="124" t="s">
        <v>8</v>
      </c>
      <c r="C32" s="247">
        <f>VLOOKUP(B32,'Input keuzevariabelen'!$B:$C,2,FALSE)</f>
        <v>1</v>
      </c>
      <c r="D32" s="120">
        <v>2019</v>
      </c>
      <c r="E32" s="121" t="s">
        <v>10</v>
      </c>
      <c r="F32" s="250" t="str">
        <f>VLOOKUP(G32,'Input keuzevariabelen'!$F:$J,2,FALSE)</f>
        <v>bt</v>
      </c>
      <c r="G32" s="99" t="s">
        <v>122</v>
      </c>
      <c r="H32" s="233">
        <f>212563/0.13</f>
        <v>1635100</v>
      </c>
      <c r="I32" s="211">
        <f t="shared" si="0"/>
        <v>1635100</v>
      </c>
      <c r="J32" s="91" t="str">
        <f>VLOOKUP(G32,'Input keuzevariabelen'!$F:$J,3,FALSE)</f>
        <v>km</v>
      </c>
      <c r="K32" s="91">
        <f>SUMIFS('Input keuzevariabelen'!$I:$I,'Input keuzevariabelen'!$F:$F,Data!G32,'Input keuzevariabelen'!$K:$K,Data!D32)</f>
        <v>6</v>
      </c>
      <c r="L32" s="91" t="str">
        <f>VLOOKUP(G32,'Input keuzevariabelen'!$F:$J,5,FALSE)</f>
        <v>gram CO2/km</v>
      </c>
      <c r="M32" s="209">
        <f t="shared" si="1"/>
        <v>9.8106000000000009</v>
      </c>
      <c r="N32" s="96" t="s">
        <v>116</v>
      </c>
      <c r="O32" s="99" t="s">
        <v>123</v>
      </c>
      <c r="P32" s="100"/>
      <c r="Q32" s="91">
        <f>SUMIFS('Input keuzevariabelen'!$P:$P,'Input keuzevariabelen'!$M:$M,Data!G32)</f>
        <v>0</v>
      </c>
      <c r="R32" s="212">
        <f t="shared" si="2"/>
        <v>0</v>
      </c>
    </row>
    <row r="33" spans="2:18" ht="17.399999999999999" thickTop="1" thickBot="1" x14ac:dyDescent="0.35">
      <c r="B33" s="124" t="s">
        <v>8</v>
      </c>
      <c r="C33" s="247">
        <f>VLOOKUP(B33,'Input keuzevariabelen'!$B:$C,2,FALSE)</f>
        <v>1</v>
      </c>
      <c r="D33" s="120">
        <v>2019</v>
      </c>
      <c r="E33" s="121" t="s">
        <v>10</v>
      </c>
      <c r="F33" s="250" t="str">
        <f>VLOOKUP(G33,'Input keuzevariabelen'!$F:$J,2,FALSE)</f>
        <v>bt</v>
      </c>
      <c r="G33" s="99" t="s">
        <v>34</v>
      </c>
      <c r="H33" s="233">
        <v>7774</v>
      </c>
      <c r="I33" s="211">
        <f t="shared" si="0"/>
        <v>7774</v>
      </c>
      <c r="J33" s="91" t="str">
        <f>VLOOKUP(G33,'Input keuzevariabelen'!$F:$J,3,FALSE)</f>
        <v>km</v>
      </c>
      <c r="K33" s="91">
        <f>SUMIFS('Input keuzevariabelen'!$I:$I,'Input keuzevariabelen'!$F:$F,Data!G33,'Input keuzevariabelen'!$K:$K,Data!D33)</f>
        <v>297</v>
      </c>
      <c r="L33" s="91" t="str">
        <f>VLOOKUP(G33,'Input keuzevariabelen'!$F:$J,5,FALSE)</f>
        <v>gram CO2/km</v>
      </c>
      <c r="M33" s="209">
        <f t="shared" si="1"/>
        <v>2.308878</v>
      </c>
      <c r="N33" s="96" t="s">
        <v>116</v>
      </c>
      <c r="O33" s="99"/>
      <c r="P33" s="100"/>
      <c r="Q33" s="91">
        <f>SUMIFS('Input keuzevariabelen'!$P:$P,'Input keuzevariabelen'!$M:$M,Data!G33)</f>
        <v>0</v>
      </c>
      <c r="R33" s="212">
        <f t="shared" si="2"/>
        <v>0</v>
      </c>
    </row>
    <row r="34" spans="2:18" ht="17.399999999999999" thickTop="1" thickBot="1" x14ac:dyDescent="0.35">
      <c r="B34" s="123" t="s">
        <v>8</v>
      </c>
      <c r="C34" s="247">
        <f>VLOOKUP(B34,'Input keuzevariabelen'!$B:$C,2,FALSE)</f>
        <v>1</v>
      </c>
      <c r="D34" s="120">
        <v>2019</v>
      </c>
      <c r="E34" s="121" t="s">
        <v>10</v>
      </c>
      <c r="F34" s="250" t="str">
        <f>VLOOKUP(G34,'Input keuzevariabelen'!$F:$J,2,FALSE)</f>
        <v>bt</v>
      </c>
      <c r="G34" s="96" t="s">
        <v>35</v>
      </c>
      <c r="H34" s="233">
        <v>5786</v>
      </c>
      <c r="I34" s="211">
        <f t="shared" si="0"/>
        <v>5786</v>
      </c>
      <c r="J34" s="91" t="str">
        <f>VLOOKUP(G34,'Input keuzevariabelen'!$F:$J,3,FALSE)</f>
        <v>km</v>
      </c>
      <c r="K34" s="91">
        <f>SUMIFS('Input keuzevariabelen'!$I:$I,'Input keuzevariabelen'!$F:$F,Data!G34,'Input keuzevariabelen'!$K:$K,Data!D34)</f>
        <v>200</v>
      </c>
      <c r="L34" s="91" t="str">
        <f>VLOOKUP(G34,'Input keuzevariabelen'!$F:$J,5,FALSE)</f>
        <v>gram CO2/km</v>
      </c>
      <c r="M34" s="209">
        <f t="shared" si="1"/>
        <v>1.1572</v>
      </c>
      <c r="N34" s="99" t="s">
        <v>116</v>
      </c>
      <c r="O34" s="96"/>
      <c r="P34" s="97"/>
      <c r="Q34" s="91">
        <f>SUMIFS('Input keuzevariabelen'!$P:$P,'Input keuzevariabelen'!$M:$M,Data!G34)</f>
        <v>0</v>
      </c>
      <c r="R34" s="212">
        <f t="shared" si="2"/>
        <v>0</v>
      </c>
    </row>
    <row r="35" spans="2:18" ht="17.399999999999999" thickTop="1" thickBot="1" x14ac:dyDescent="0.35">
      <c r="B35" s="123" t="s">
        <v>8</v>
      </c>
      <c r="C35" s="247">
        <f>VLOOKUP(B35,'Input keuzevariabelen'!$B:$C,2,FALSE)</f>
        <v>1</v>
      </c>
      <c r="D35" s="120">
        <v>2019</v>
      </c>
      <c r="E35" s="121" t="s">
        <v>10</v>
      </c>
      <c r="F35" s="250" t="str">
        <f>VLOOKUP(G35,'Input keuzevariabelen'!$F:$J,2,FALSE)</f>
        <v>bt</v>
      </c>
      <c r="G35" s="96" t="s">
        <v>36</v>
      </c>
      <c r="H35" s="233">
        <v>176578</v>
      </c>
      <c r="I35" s="211">
        <f t="shared" si="0"/>
        <v>176578</v>
      </c>
      <c r="J35" s="91" t="str">
        <f>VLOOKUP(G35,'Input keuzevariabelen'!$F:$J,3,FALSE)</f>
        <v>km</v>
      </c>
      <c r="K35" s="91">
        <f>SUMIFS('Input keuzevariabelen'!$I:$I,'Input keuzevariabelen'!$F:$F,Data!G35,'Input keuzevariabelen'!$K:$K,Data!D35)</f>
        <v>147</v>
      </c>
      <c r="L35" s="91" t="str">
        <f>VLOOKUP(G35,'Input keuzevariabelen'!$F:$J,5,FALSE)</f>
        <v>gram CO2/km</v>
      </c>
      <c r="M35" s="209">
        <f t="shared" si="1"/>
        <v>25.956966000000001</v>
      </c>
      <c r="N35" s="99" t="s">
        <v>116</v>
      </c>
      <c r="O35" s="96"/>
      <c r="P35" s="97"/>
      <c r="Q35" s="91">
        <f>SUMIFS('Input keuzevariabelen'!$P:$P,'Input keuzevariabelen'!$M:$M,Data!G35)</f>
        <v>0</v>
      </c>
      <c r="R35" s="212">
        <f t="shared" si="2"/>
        <v>0</v>
      </c>
    </row>
    <row r="36" spans="2:18" ht="17.399999999999999" thickTop="1" thickBot="1" x14ac:dyDescent="0.35">
      <c r="B36" s="123" t="s">
        <v>124</v>
      </c>
      <c r="C36" s="247">
        <f>VLOOKUP(B36,'Input keuzevariabelen'!$B:$C,2,FALSE)</f>
        <v>0.2</v>
      </c>
      <c r="D36" s="120">
        <v>2019</v>
      </c>
      <c r="E36" s="121" t="s">
        <v>10</v>
      </c>
      <c r="F36" s="250">
        <f>VLOOKUP(G36,'Input keuzevariabelen'!$F:$J,2,FALSE)</f>
        <v>1</v>
      </c>
      <c r="G36" s="96" t="s">
        <v>18</v>
      </c>
      <c r="H36" s="233">
        <f>283280</f>
        <v>283280</v>
      </c>
      <c r="I36" s="211">
        <f t="shared" si="0"/>
        <v>56656</v>
      </c>
      <c r="J36" s="91" t="str">
        <f>VLOOKUP(G36,'Input keuzevariabelen'!$F:$J,3,FALSE)</f>
        <v>m3</v>
      </c>
      <c r="K36" s="91">
        <f>SUMIFS('Input keuzevariabelen'!$I:$I,'Input keuzevariabelen'!$F:$F,Data!G36,'Input keuzevariabelen'!$K:$K,Data!D36)</f>
        <v>1890</v>
      </c>
      <c r="L36" s="91" t="str">
        <f>VLOOKUP(G36,'Input keuzevariabelen'!$F:$J,5,FALSE)</f>
        <v>gram CO2/m3</v>
      </c>
      <c r="M36" s="209">
        <f t="shared" si="1"/>
        <v>107.07984</v>
      </c>
      <c r="N36" s="99" t="s">
        <v>125</v>
      </c>
      <c r="O36" s="96"/>
      <c r="P36" s="97" t="s">
        <v>126</v>
      </c>
      <c r="Q36" s="91">
        <f>SUMIFS('Input keuzevariabelen'!$P:$P,'Input keuzevariabelen'!$M:$M,Data!G36)</f>
        <v>3.1649999999999998E-2</v>
      </c>
      <c r="R36" s="212">
        <f t="shared" si="2"/>
        <v>1793.1623999999999</v>
      </c>
    </row>
    <row r="37" spans="2:18" ht="17.399999999999999" thickTop="1" thickBot="1" x14ac:dyDescent="0.35">
      <c r="B37" s="123" t="s">
        <v>124</v>
      </c>
      <c r="C37" s="247">
        <f>VLOOKUP(B37,'Input keuzevariabelen'!$B:$C,2,FALSE)</f>
        <v>0.2</v>
      </c>
      <c r="D37" s="120">
        <v>2019</v>
      </c>
      <c r="E37" s="121" t="s">
        <v>10</v>
      </c>
      <c r="F37" s="250">
        <f>VLOOKUP(G37,'Input keuzevariabelen'!$F:$J,2,FALSE)</f>
        <v>2</v>
      </c>
      <c r="G37" s="96" t="s">
        <v>27</v>
      </c>
      <c r="H37" s="233">
        <f>19833000</f>
        <v>19833000</v>
      </c>
      <c r="I37" s="211">
        <f t="shared" si="0"/>
        <v>3966600</v>
      </c>
      <c r="J37" s="91" t="str">
        <f>VLOOKUP(G37,'Input keuzevariabelen'!$F:$J,3,FALSE)</f>
        <v>kWh</v>
      </c>
      <c r="K37" s="91">
        <f>SUMIFS('Input keuzevariabelen'!$I:$I,'Input keuzevariabelen'!$F:$F,Data!G37,'Input keuzevariabelen'!$K:$K,Data!D37)</f>
        <v>0</v>
      </c>
      <c r="L37" s="91" t="str">
        <f>VLOOKUP(G37,'Input keuzevariabelen'!$F:$J,5,FALSE)</f>
        <v>gram CO2/kWh</v>
      </c>
      <c r="M37" s="209">
        <f t="shared" si="1"/>
        <v>0</v>
      </c>
      <c r="N37" s="99" t="s">
        <v>125</v>
      </c>
      <c r="O37" s="99"/>
      <c r="P37" s="100" t="s">
        <v>126</v>
      </c>
      <c r="Q37" s="91">
        <f>SUMIFS('Input keuzevariabelen'!$P:$P,'Input keuzevariabelen'!$M:$M,Data!G37)</f>
        <v>5.2199999999999998E-3</v>
      </c>
      <c r="R37" s="212">
        <f t="shared" si="2"/>
        <v>20705.651999999998</v>
      </c>
    </row>
    <row r="38" spans="2:18" ht="17.399999999999999" thickTop="1" thickBot="1" x14ac:dyDescent="0.35">
      <c r="B38" s="123" t="s">
        <v>124</v>
      </c>
      <c r="C38" s="247">
        <f>VLOOKUP(B38,'Input keuzevariabelen'!$B:$C,2,FALSE)</f>
        <v>0.2</v>
      </c>
      <c r="D38" s="120">
        <v>2019</v>
      </c>
      <c r="E38" s="121" t="s">
        <v>10</v>
      </c>
      <c r="F38" s="250">
        <f>VLOOKUP(G38,'Input keuzevariabelen'!$F:$J,2,FALSE)</f>
        <v>2</v>
      </c>
      <c r="G38" s="96" t="s">
        <v>27</v>
      </c>
      <c r="H38" s="233">
        <f>3326000</f>
        <v>3326000</v>
      </c>
      <c r="I38" s="211">
        <f t="shared" si="0"/>
        <v>665200</v>
      </c>
      <c r="J38" s="91" t="str">
        <f>VLOOKUP(G38,'Input keuzevariabelen'!$F:$J,3,FALSE)</f>
        <v>kWh</v>
      </c>
      <c r="K38" s="91">
        <f>SUMIFS('Input keuzevariabelen'!$I:$I,'Input keuzevariabelen'!$F:$F,Data!G38,'Input keuzevariabelen'!$K:$K,Data!D38)</f>
        <v>0</v>
      </c>
      <c r="L38" s="91" t="str">
        <f>VLOOKUP(G38,'Input keuzevariabelen'!$F:$J,5,FALSE)</f>
        <v>gram CO2/kWh</v>
      </c>
      <c r="M38" s="209">
        <f t="shared" si="1"/>
        <v>0</v>
      </c>
      <c r="N38" s="99" t="s">
        <v>125</v>
      </c>
      <c r="O38" s="99"/>
      <c r="P38" s="100" t="s">
        <v>126</v>
      </c>
      <c r="Q38" s="91">
        <f>SUMIFS('Input keuzevariabelen'!$P:$P,'Input keuzevariabelen'!$M:$M,Data!G38)</f>
        <v>5.2199999999999998E-3</v>
      </c>
      <c r="R38" s="212">
        <f t="shared" si="2"/>
        <v>3472.3440000000001</v>
      </c>
    </row>
    <row r="39" spans="2:18" ht="17.399999999999999" thickTop="1" thickBot="1" x14ac:dyDescent="0.35">
      <c r="B39" s="124" t="s">
        <v>127</v>
      </c>
      <c r="C39" s="247">
        <f>VLOOKUP(B39,'Input keuzevariabelen'!$B:$C,2,FALSE)</f>
        <v>0.28599999999999998</v>
      </c>
      <c r="D39" s="120">
        <v>2019</v>
      </c>
      <c r="E39" s="121" t="s">
        <v>10</v>
      </c>
      <c r="F39" s="250">
        <f>VLOOKUP(G39,'Input keuzevariabelen'!$F:$J,2,FALSE)</f>
        <v>1</v>
      </c>
      <c r="G39" s="96" t="s">
        <v>18</v>
      </c>
      <c r="H39" s="233">
        <f>13682</f>
        <v>13682</v>
      </c>
      <c r="I39" s="211">
        <f t="shared" si="0"/>
        <v>3913.0519999999997</v>
      </c>
      <c r="J39" s="91" t="str">
        <f>VLOOKUP(G39,'Input keuzevariabelen'!$F:$J,3,FALSE)</f>
        <v>m3</v>
      </c>
      <c r="K39" s="91">
        <f>SUMIFS('Input keuzevariabelen'!$I:$I,'Input keuzevariabelen'!$F:$F,Data!G39,'Input keuzevariabelen'!$K:$K,Data!D39)</f>
        <v>1890</v>
      </c>
      <c r="L39" s="91" t="str">
        <f>VLOOKUP(G39,'Input keuzevariabelen'!$F:$J,5,FALSE)</f>
        <v>gram CO2/m3</v>
      </c>
      <c r="M39" s="209">
        <f t="shared" si="1"/>
        <v>7.3956682799999998</v>
      </c>
      <c r="N39" s="99" t="s">
        <v>128</v>
      </c>
      <c r="O39" s="99"/>
      <c r="P39" s="100" t="s">
        <v>127</v>
      </c>
      <c r="Q39" s="91">
        <f>SUMIFS('Input keuzevariabelen'!$P:$P,'Input keuzevariabelen'!$M:$M,Data!G39)</f>
        <v>3.1649999999999998E-2</v>
      </c>
      <c r="R39" s="212">
        <f t="shared" si="2"/>
        <v>123.84809579999998</v>
      </c>
    </row>
    <row r="40" spans="2:18" ht="17.399999999999999" thickTop="1" thickBot="1" x14ac:dyDescent="0.35">
      <c r="B40" s="124" t="s">
        <v>127</v>
      </c>
      <c r="C40" s="247">
        <f>VLOOKUP(B40,'Input keuzevariabelen'!$B:$C,2,FALSE)</f>
        <v>0.28599999999999998</v>
      </c>
      <c r="D40" s="120">
        <v>2019</v>
      </c>
      <c r="E40" s="121" t="s">
        <v>10</v>
      </c>
      <c r="F40" s="250">
        <f>VLOOKUP(G40,'Input keuzevariabelen'!$F:$J,2,FALSE)</f>
        <v>2</v>
      </c>
      <c r="G40" s="96" t="s">
        <v>25</v>
      </c>
      <c r="H40" s="233">
        <f>323879</f>
        <v>323879</v>
      </c>
      <c r="I40" s="211">
        <f t="shared" si="0"/>
        <v>92629.393999999986</v>
      </c>
      <c r="J40" s="91" t="str">
        <f>VLOOKUP(G40,'Input keuzevariabelen'!$F:$J,3,FALSE)</f>
        <v>kWh</v>
      </c>
      <c r="K40" s="91">
        <f>SUMIFS('Input keuzevariabelen'!$I:$I,'Input keuzevariabelen'!$F:$F,Data!G40,'Input keuzevariabelen'!$K:$K,Data!D40)</f>
        <v>649</v>
      </c>
      <c r="L40" s="91" t="str">
        <f>VLOOKUP(G40,'Input keuzevariabelen'!$F:$J,5,FALSE)</f>
        <v>gram CO2/kWh</v>
      </c>
      <c r="M40" s="209">
        <f t="shared" si="1"/>
        <v>60.116476705999993</v>
      </c>
      <c r="N40" s="99" t="s">
        <v>128</v>
      </c>
      <c r="O40" s="99"/>
      <c r="P40" s="100" t="s">
        <v>127</v>
      </c>
      <c r="Q40" s="91">
        <f>SUMIFS('Input keuzevariabelen'!$P:$P,'Input keuzevariabelen'!$M:$M,Data!G40)</f>
        <v>5.2199999999999998E-3</v>
      </c>
      <c r="R40" s="212">
        <f t="shared" si="2"/>
        <v>483.52543667999993</v>
      </c>
    </row>
    <row r="41" spans="2:18" ht="17.399999999999999" thickTop="1" thickBot="1" x14ac:dyDescent="0.35">
      <c r="B41" s="124" t="s">
        <v>53</v>
      </c>
      <c r="C41" s="247">
        <f>VLOOKUP(B41,'Input keuzevariabelen'!$B:$C,2,FALSE)</f>
        <v>0.111</v>
      </c>
      <c r="D41" s="120">
        <v>2019</v>
      </c>
      <c r="E41" s="121" t="s">
        <v>10</v>
      </c>
      <c r="F41" s="250">
        <f>VLOOKUP(G41,'Input keuzevariabelen'!$F:$J,2,FALSE)</f>
        <v>1</v>
      </c>
      <c r="G41" s="96" t="s">
        <v>18</v>
      </c>
      <c r="H41" s="233">
        <f>121243</f>
        <v>121243</v>
      </c>
      <c r="I41" s="211">
        <f t="shared" si="0"/>
        <v>13457.973</v>
      </c>
      <c r="J41" s="91" t="str">
        <f>VLOOKUP(G41,'Input keuzevariabelen'!$F:$J,3,FALSE)</f>
        <v>m3</v>
      </c>
      <c r="K41" s="91">
        <f>SUMIFS('Input keuzevariabelen'!$I:$I,'Input keuzevariabelen'!$F:$F,Data!G41,'Input keuzevariabelen'!$K:$K,Data!D41)</f>
        <v>1890</v>
      </c>
      <c r="L41" s="91" t="str">
        <f>VLOOKUP(G41,'Input keuzevariabelen'!$F:$J,5,FALSE)</f>
        <v>gram CO2/m3</v>
      </c>
      <c r="M41" s="209">
        <f t="shared" si="1"/>
        <v>25.435568969999999</v>
      </c>
      <c r="N41" s="99" t="s">
        <v>129</v>
      </c>
      <c r="O41" s="99"/>
      <c r="P41" s="100" t="s">
        <v>53</v>
      </c>
      <c r="Q41" s="91">
        <f>SUMIFS('Input keuzevariabelen'!$P:$P,'Input keuzevariabelen'!$M:$M,Data!G41)</f>
        <v>3.1649999999999998E-2</v>
      </c>
      <c r="R41" s="212">
        <f t="shared" si="2"/>
        <v>425.94484544999995</v>
      </c>
    </row>
    <row r="42" spans="2:18" ht="17.399999999999999" thickTop="1" thickBot="1" x14ac:dyDescent="0.35">
      <c r="B42" s="124" t="s">
        <v>53</v>
      </c>
      <c r="C42" s="247">
        <f>VLOOKUP(B42,'Input keuzevariabelen'!$B:$C,2,FALSE)</f>
        <v>0.111</v>
      </c>
      <c r="D42" s="120">
        <v>2019</v>
      </c>
      <c r="E42" s="121" t="s">
        <v>10</v>
      </c>
      <c r="F42" s="250">
        <f>VLOOKUP(G42,'Input keuzevariabelen'!$F:$J,2,FALSE)</f>
        <v>2</v>
      </c>
      <c r="G42" s="96" t="s">
        <v>27</v>
      </c>
      <c r="H42" s="233">
        <f>1212372</f>
        <v>1212372</v>
      </c>
      <c r="I42" s="211">
        <f t="shared" si="0"/>
        <v>134573.29200000002</v>
      </c>
      <c r="J42" s="91" t="str">
        <f>VLOOKUP(G42,'Input keuzevariabelen'!$F:$J,3,FALSE)</f>
        <v>kWh</v>
      </c>
      <c r="K42" s="91">
        <f>SUMIFS('Input keuzevariabelen'!$I:$I,'Input keuzevariabelen'!$F:$F,Data!G42,'Input keuzevariabelen'!$K:$K,Data!D42)</f>
        <v>0</v>
      </c>
      <c r="L42" s="91" t="str">
        <f>VLOOKUP(G42,'Input keuzevariabelen'!$F:$J,5,FALSE)</f>
        <v>gram CO2/kWh</v>
      </c>
      <c r="M42" s="209">
        <f t="shared" si="1"/>
        <v>0</v>
      </c>
      <c r="N42" s="99" t="s">
        <v>129</v>
      </c>
      <c r="O42" s="99"/>
      <c r="P42" s="100" t="s">
        <v>53</v>
      </c>
      <c r="Q42" s="91">
        <f>SUMIFS('Input keuzevariabelen'!$P:$P,'Input keuzevariabelen'!$M:$M,Data!G42)</f>
        <v>5.2199999999999998E-3</v>
      </c>
      <c r="R42" s="212">
        <f t="shared" si="2"/>
        <v>702.47258424000006</v>
      </c>
    </row>
    <row r="43" spans="2:18" ht="17.399999999999999" thickTop="1" thickBot="1" x14ac:dyDescent="0.35">
      <c r="B43" s="124" t="s">
        <v>53</v>
      </c>
      <c r="C43" s="247">
        <f>VLOOKUP(B43,'Input keuzevariabelen'!$B:$C,2,FALSE)</f>
        <v>0.111</v>
      </c>
      <c r="D43" s="120">
        <v>2019</v>
      </c>
      <c r="E43" s="121" t="s">
        <v>10</v>
      </c>
      <c r="F43" s="250">
        <f>VLOOKUP(G43,'Input keuzevariabelen'!$F:$J,2,FALSE)</f>
        <v>2</v>
      </c>
      <c r="G43" s="96" t="s">
        <v>28</v>
      </c>
      <c r="H43" s="233">
        <f>117</f>
        <v>117</v>
      </c>
      <c r="I43" s="211">
        <f t="shared" si="0"/>
        <v>12.987</v>
      </c>
      <c r="J43" s="91" t="str">
        <f>VLOOKUP(G43,'Input keuzevariabelen'!$F:$J,3,FALSE)</f>
        <v>kWh</v>
      </c>
      <c r="K43" s="91">
        <f>SUMIFS('Input keuzevariabelen'!$I:$I,'Input keuzevariabelen'!$F:$F,Data!G43,'Input keuzevariabelen'!$K:$K,Data!D43)</f>
        <v>649</v>
      </c>
      <c r="L43" s="91" t="str">
        <f>VLOOKUP(G43,'Input keuzevariabelen'!$F:$J,5,FALSE)</f>
        <v>gram CO2/kWh</v>
      </c>
      <c r="M43" s="209">
        <f t="shared" si="1"/>
        <v>8.428563E-3</v>
      </c>
      <c r="N43" s="99" t="s">
        <v>129</v>
      </c>
      <c r="O43" s="99"/>
      <c r="P43" s="100" t="s">
        <v>53</v>
      </c>
      <c r="Q43" s="91">
        <f>SUMIFS('Input keuzevariabelen'!$P:$P,'Input keuzevariabelen'!$M:$M,Data!G43)</f>
        <v>5.2199999999999998E-3</v>
      </c>
      <c r="R43" s="212">
        <f t="shared" si="2"/>
        <v>6.7792140000000001E-2</v>
      </c>
    </row>
    <row r="44" spans="2:18" ht="17.399999999999999" thickTop="1" thickBot="1" x14ac:dyDescent="0.35">
      <c r="B44" s="124" t="s">
        <v>53</v>
      </c>
      <c r="C44" s="247">
        <f>VLOOKUP(B44,'Input keuzevariabelen'!$B:$C,2,FALSE)</f>
        <v>0.111</v>
      </c>
      <c r="D44" s="120">
        <v>2019</v>
      </c>
      <c r="E44" s="121" t="s">
        <v>10</v>
      </c>
      <c r="F44" s="250">
        <f>VLOOKUP(G44,'Input keuzevariabelen'!$F:$J,2,FALSE)</f>
        <v>1</v>
      </c>
      <c r="G44" s="96" t="s">
        <v>20</v>
      </c>
      <c r="H44" s="233">
        <f>87942</f>
        <v>87942</v>
      </c>
      <c r="I44" s="211">
        <f t="shared" si="0"/>
        <v>9761.5619999999999</v>
      </c>
      <c r="J44" s="91" t="str">
        <f>VLOOKUP(G44,'Input keuzevariabelen'!$F:$J,3,FALSE)</f>
        <v>liter</v>
      </c>
      <c r="K44" s="91">
        <f>SUMIFS('Input keuzevariabelen'!$I:$I,'Input keuzevariabelen'!$F:$F,Data!G44,'Input keuzevariabelen'!$K:$K,Data!D44)</f>
        <v>3309</v>
      </c>
      <c r="L44" s="91" t="str">
        <f>VLOOKUP(G44,'Input keuzevariabelen'!$F:$J,5,FALSE)</f>
        <v>gram CO2/liter</v>
      </c>
      <c r="M44" s="209">
        <f t="shared" si="1"/>
        <v>32.301008658000001</v>
      </c>
      <c r="N44" s="99" t="s">
        <v>130</v>
      </c>
      <c r="O44" s="99"/>
      <c r="P44" s="100" t="s">
        <v>53</v>
      </c>
      <c r="Q44" s="91">
        <f>SUMIFS('Input keuzevariabelen'!$P:$P,'Input keuzevariabelen'!$M:$M,Data!G44)</f>
        <v>3.6299999999999999E-2</v>
      </c>
      <c r="R44" s="212">
        <f t="shared" si="2"/>
        <v>354.34470060000001</v>
      </c>
    </row>
    <row r="45" spans="2:18" ht="17.399999999999999" thickTop="1" thickBot="1" x14ac:dyDescent="0.35">
      <c r="B45" s="124" t="s">
        <v>53</v>
      </c>
      <c r="C45" s="247">
        <f>VLOOKUP(B45,'Input keuzevariabelen'!$B:$C,2,FALSE)</f>
        <v>0.111</v>
      </c>
      <c r="D45" s="120">
        <v>2019</v>
      </c>
      <c r="E45" s="121" t="s">
        <v>10</v>
      </c>
      <c r="F45" s="250">
        <f>VLOOKUP(G45,'Input keuzevariabelen'!$F:$J,2,FALSE)</f>
        <v>1</v>
      </c>
      <c r="G45" s="96" t="s">
        <v>22</v>
      </c>
      <c r="H45" s="233">
        <f>2682</f>
        <v>2682</v>
      </c>
      <c r="I45" s="211">
        <f t="shared" si="0"/>
        <v>297.702</v>
      </c>
      <c r="J45" s="91" t="str">
        <f>VLOOKUP(G45,'Input keuzevariabelen'!$F:$J,3,FALSE)</f>
        <v>liter</v>
      </c>
      <c r="K45" s="91">
        <f>SUMIFS('Input keuzevariabelen'!$I:$I,'Input keuzevariabelen'!$F:$F,Data!G45,'Input keuzevariabelen'!$K:$K,Data!D45)</f>
        <v>2884</v>
      </c>
      <c r="L45" s="91" t="str">
        <f>VLOOKUP(G45,'Input keuzevariabelen'!$F:$J,5,FALSE)</f>
        <v>gram CO2/liter</v>
      </c>
      <c r="M45" s="209">
        <f t="shared" si="1"/>
        <v>0.85857256799999992</v>
      </c>
      <c r="N45" s="99" t="s">
        <v>130</v>
      </c>
      <c r="O45" s="99"/>
      <c r="P45" s="100" t="s">
        <v>53</v>
      </c>
      <c r="Q45" s="91">
        <f>SUMIFS('Input keuzevariabelen'!$P:$P,'Input keuzevariabelen'!$M:$M,Data!G45)</f>
        <v>3.1E-2</v>
      </c>
      <c r="R45" s="212">
        <f t="shared" si="2"/>
        <v>9.2287619999999997</v>
      </c>
    </row>
    <row r="46" spans="2:18" ht="17.399999999999999" thickTop="1" thickBot="1" x14ac:dyDescent="0.35">
      <c r="B46" s="124" t="s">
        <v>53</v>
      </c>
      <c r="C46" s="247">
        <f>VLOOKUP(B46,'Input keuzevariabelen'!$B:$C,2,FALSE)</f>
        <v>0.111</v>
      </c>
      <c r="D46" s="120">
        <v>2019</v>
      </c>
      <c r="E46" s="121" t="s">
        <v>10</v>
      </c>
      <c r="F46" s="250" t="str">
        <f>VLOOKUP(G46,'Input keuzevariabelen'!$F:$J,2,FALSE)</f>
        <v>bt</v>
      </c>
      <c r="G46" s="96" t="s">
        <v>31</v>
      </c>
      <c r="H46" s="233">
        <f>(51572/0.19)</f>
        <v>271431.57894736843</v>
      </c>
      <c r="I46" s="211">
        <f t="shared" si="0"/>
        <v>30128.905263157896</v>
      </c>
      <c r="J46" s="91" t="str">
        <f>VLOOKUP(G46,'Input keuzevariabelen'!$F:$J,3,FALSE)</f>
        <v>km</v>
      </c>
      <c r="K46" s="91">
        <f>SUMIFS('Input keuzevariabelen'!$I:$I,'Input keuzevariabelen'!$F:$F,Data!G46,'Input keuzevariabelen'!$K:$K,Data!D46)</f>
        <v>220</v>
      </c>
      <c r="L46" s="91" t="str">
        <f>VLOOKUP(G46,'Input keuzevariabelen'!$F:$J,5,FALSE)</f>
        <v>gram CO2/km</v>
      </c>
      <c r="M46" s="209">
        <f t="shared" si="1"/>
        <v>6.628359157894737</v>
      </c>
      <c r="N46" s="99" t="s">
        <v>129</v>
      </c>
      <c r="O46" s="99"/>
      <c r="P46" s="100" t="s">
        <v>53</v>
      </c>
      <c r="Q46" s="91">
        <f>SUMIFS('Input keuzevariabelen'!$P:$P,'Input keuzevariabelen'!$M:$M,Data!G46)</f>
        <v>0</v>
      </c>
      <c r="R46" s="212">
        <f t="shared" si="2"/>
        <v>0</v>
      </c>
    </row>
    <row r="47" spans="2:18" ht="17.399999999999999" thickTop="1" thickBot="1" x14ac:dyDescent="0.35">
      <c r="B47" s="124" t="s">
        <v>53</v>
      </c>
      <c r="C47" s="247">
        <f>VLOOKUP(B47,'Input keuzevariabelen'!$B:$C,2,FALSE)</f>
        <v>0.111</v>
      </c>
      <c r="D47" s="120">
        <v>2019</v>
      </c>
      <c r="E47" s="121" t="s">
        <v>10</v>
      </c>
      <c r="F47" s="250" t="str">
        <f>VLOOKUP(G47,'Input keuzevariabelen'!$F:$J,2,FALSE)</f>
        <v>bt</v>
      </c>
      <c r="G47" s="96" t="s">
        <v>33</v>
      </c>
      <c r="H47" s="233">
        <f>(687/0.15)</f>
        <v>4580</v>
      </c>
      <c r="I47" s="211">
        <f t="shared" si="0"/>
        <v>508.38</v>
      </c>
      <c r="J47" s="91" t="str">
        <f>VLOOKUP(G47,'Input keuzevariabelen'!$F:$J,3,FALSE)</f>
        <v>km</v>
      </c>
      <c r="K47" s="91">
        <f>SUMIFS('Input keuzevariabelen'!$I:$I,'Input keuzevariabelen'!$F:$F,Data!G47,'Input keuzevariabelen'!$K:$K,Data!D47)</f>
        <v>36</v>
      </c>
      <c r="L47" s="91" t="str">
        <f>VLOOKUP(G47,'Input keuzevariabelen'!$F:$J,5,FALSE)</f>
        <v>gram CO2/km</v>
      </c>
      <c r="M47" s="209">
        <f t="shared" si="1"/>
        <v>1.8301680000000001E-2</v>
      </c>
      <c r="N47" s="99" t="s">
        <v>129</v>
      </c>
      <c r="O47" s="99"/>
      <c r="P47" s="100" t="s">
        <v>53</v>
      </c>
      <c r="Q47" s="91">
        <f>SUMIFS('Input keuzevariabelen'!$P:$P,'Input keuzevariabelen'!$M:$M,Data!G47)</f>
        <v>0</v>
      </c>
      <c r="R47" s="212">
        <f t="shared" si="2"/>
        <v>0</v>
      </c>
    </row>
    <row r="48" spans="2:18" ht="17.399999999999999" thickTop="1" thickBot="1" x14ac:dyDescent="0.35">
      <c r="B48" s="124" t="s">
        <v>8</v>
      </c>
      <c r="C48" s="247">
        <f>VLOOKUP(B48,'Input keuzevariabelen'!$B:$C,2,FALSE)</f>
        <v>1</v>
      </c>
      <c r="D48" s="120">
        <v>2020</v>
      </c>
      <c r="E48" s="125" t="s">
        <v>10</v>
      </c>
      <c r="F48" s="250" t="str">
        <f>VLOOKUP(G48,'Input keuzevariabelen'!$F:$J,2,FALSE)</f>
        <v>KPI</v>
      </c>
      <c r="G48" s="96" t="s">
        <v>99</v>
      </c>
      <c r="H48" s="233">
        <f>153871840/1000</f>
        <v>153871.84</v>
      </c>
      <c r="I48" s="211">
        <f t="shared" si="0"/>
        <v>153871.84</v>
      </c>
      <c r="J48" s="91">
        <f>VLOOKUP(G48,'Input keuzevariabelen'!$F:$J,3,FALSE)</f>
        <v>0</v>
      </c>
      <c r="K48" s="91">
        <f>SUMIFS('Input keuzevariabelen'!$I:$I,'Input keuzevariabelen'!$F:$F,Data!G48,'Input keuzevariabelen'!$K:$K,Data!D48)</f>
        <v>0</v>
      </c>
      <c r="L48" s="91">
        <f>VLOOKUP(G48,'Input keuzevariabelen'!$F:$J,5,FALSE)</f>
        <v>0</v>
      </c>
      <c r="M48" s="209">
        <f t="shared" si="1"/>
        <v>0</v>
      </c>
      <c r="N48" s="99" t="s">
        <v>100</v>
      </c>
      <c r="O48" s="99"/>
      <c r="P48" s="100"/>
      <c r="Q48" s="91">
        <f>SUMIFS('Input keuzevariabelen'!$P:$P,'Input keuzevariabelen'!$M:$M,Data!G48)</f>
        <v>0</v>
      </c>
      <c r="R48" s="212">
        <f t="shared" si="2"/>
        <v>0</v>
      </c>
    </row>
    <row r="49" spans="2:18" ht="17.399999999999999" thickTop="1" thickBot="1" x14ac:dyDescent="0.35">
      <c r="B49" s="124" t="s">
        <v>8</v>
      </c>
      <c r="C49" s="247">
        <f>VLOOKUP(B49,'Input keuzevariabelen'!$B:$C,2,FALSE)</f>
        <v>1</v>
      </c>
      <c r="D49" s="120">
        <v>2020</v>
      </c>
      <c r="E49" s="125" t="s">
        <v>10</v>
      </c>
      <c r="F49" s="250">
        <f>VLOOKUP(G49,'Input keuzevariabelen'!$F:$J,2,FALSE)</f>
        <v>2</v>
      </c>
      <c r="G49" s="96" t="s">
        <v>27</v>
      </c>
      <c r="H49" s="233">
        <v>6160827</v>
      </c>
      <c r="I49" s="211">
        <f t="shared" si="0"/>
        <v>6160827</v>
      </c>
      <c r="J49" s="91" t="str">
        <f>VLOOKUP(G49,'Input keuzevariabelen'!$F:$J,3,FALSE)</f>
        <v>kWh</v>
      </c>
      <c r="K49" s="91">
        <f>SUMIFS('Input keuzevariabelen'!$I:$I,'Input keuzevariabelen'!$F:$F,Data!G49,'Input keuzevariabelen'!$K:$K,Data!D49)</f>
        <v>0</v>
      </c>
      <c r="L49" s="91" t="str">
        <f>VLOOKUP(G49,'Input keuzevariabelen'!$F:$J,5,FALSE)</f>
        <v>gram CO2/kWh</v>
      </c>
      <c r="M49" s="209">
        <f t="shared" si="1"/>
        <v>0</v>
      </c>
      <c r="N49" s="99" t="s">
        <v>131</v>
      </c>
      <c r="O49" s="99" t="s">
        <v>102</v>
      </c>
      <c r="P49" s="100" t="s">
        <v>103</v>
      </c>
      <c r="Q49" s="91">
        <f>SUMIFS('Input keuzevariabelen'!$P:$P,'Input keuzevariabelen'!$M:$M,Data!G49)</f>
        <v>5.2199999999999998E-3</v>
      </c>
      <c r="R49" s="212">
        <f t="shared" si="2"/>
        <v>32159.516939999998</v>
      </c>
    </row>
    <row r="50" spans="2:18" ht="17.399999999999999" thickTop="1" thickBot="1" x14ac:dyDescent="0.35">
      <c r="B50" s="124" t="s">
        <v>8</v>
      </c>
      <c r="C50" s="247">
        <f>VLOOKUP(B50,'Input keuzevariabelen'!$B:$C,2,FALSE)</f>
        <v>1</v>
      </c>
      <c r="D50" s="120">
        <v>2020</v>
      </c>
      <c r="E50" s="125" t="s">
        <v>10</v>
      </c>
      <c r="F50" s="250">
        <f>VLOOKUP(G50,'Input keuzevariabelen'!$F:$J,2,FALSE)</f>
        <v>2</v>
      </c>
      <c r="G50" s="96" t="s">
        <v>27</v>
      </c>
      <c r="H50" s="233">
        <v>451101</v>
      </c>
      <c r="I50" s="211">
        <f t="shared" si="0"/>
        <v>451101</v>
      </c>
      <c r="J50" s="91" t="str">
        <f>VLOOKUP(G50,'Input keuzevariabelen'!$F:$J,3,FALSE)</f>
        <v>kWh</v>
      </c>
      <c r="K50" s="91">
        <f>SUMIFS('Input keuzevariabelen'!$I:$I,'Input keuzevariabelen'!$F:$F,Data!G50,'Input keuzevariabelen'!$K:$K,Data!D50)</f>
        <v>0</v>
      </c>
      <c r="L50" s="91" t="str">
        <f>VLOOKUP(G50,'Input keuzevariabelen'!$F:$J,5,FALSE)</f>
        <v>gram CO2/kWh</v>
      </c>
      <c r="M50" s="209">
        <f t="shared" si="1"/>
        <v>0</v>
      </c>
      <c r="N50" s="99" t="s">
        <v>131</v>
      </c>
      <c r="O50" s="99" t="s">
        <v>102</v>
      </c>
      <c r="P50" s="100" t="s">
        <v>104</v>
      </c>
      <c r="Q50" s="91">
        <f>SUMIFS('Input keuzevariabelen'!$P:$P,'Input keuzevariabelen'!$M:$M,Data!G50)</f>
        <v>5.2199999999999998E-3</v>
      </c>
      <c r="R50" s="212">
        <f t="shared" si="2"/>
        <v>2354.7472199999997</v>
      </c>
    </row>
    <row r="51" spans="2:18" ht="17.399999999999999" thickTop="1" thickBot="1" x14ac:dyDescent="0.35">
      <c r="B51" s="124" t="s">
        <v>8</v>
      </c>
      <c r="C51" s="247">
        <f>VLOOKUP(B51,'Input keuzevariabelen'!$B:$C,2,FALSE)</f>
        <v>1</v>
      </c>
      <c r="D51" s="120">
        <v>2020</v>
      </c>
      <c r="E51" s="125" t="s">
        <v>10</v>
      </c>
      <c r="F51" s="250">
        <f>VLOOKUP(G51,'Input keuzevariabelen'!$F:$J,2,FALSE)</f>
        <v>2</v>
      </c>
      <c r="G51" s="96" t="s">
        <v>27</v>
      </c>
      <c r="H51" s="233">
        <v>2451325</v>
      </c>
      <c r="I51" s="211">
        <f t="shared" si="0"/>
        <v>2451325</v>
      </c>
      <c r="J51" s="91" t="str">
        <f>VLOOKUP(G51,'Input keuzevariabelen'!$F:$J,3,FALSE)</f>
        <v>kWh</v>
      </c>
      <c r="K51" s="91">
        <f>SUMIFS('Input keuzevariabelen'!$I:$I,'Input keuzevariabelen'!$F:$F,Data!G51,'Input keuzevariabelen'!$K:$K,Data!D51)</f>
        <v>0</v>
      </c>
      <c r="L51" s="91" t="str">
        <f>VLOOKUP(G51,'Input keuzevariabelen'!$F:$J,5,FALSE)</f>
        <v>gram CO2/kWh</v>
      </c>
      <c r="M51" s="209">
        <f t="shared" si="1"/>
        <v>0</v>
      </c>
      <c r="N51" s="99" t="s">
        <v>131</v>
      </c>
      <c r="O51" s="99" t="s">
        <v>102</v>
      </c>
      <c r="P51" s="100" t="s">
        <v>105</v>
      </c>
      <c r="Q51" s="91">
        <f>SUMIFS('Input keuzevariabelen'!$P:$P,'Input keuzevariabelen'!$M:$M,Data!G51)</f>
        <v>5.2199999999999998E-3</v>
      </c>
      <c r="R51" s="212">
        <f t="shared" si="2"/>
        <v>12795.916499999999</v>
      </c>
    </row>
    <row r="52" spans="2:18" ht="17.399999999999999" thickTop="1" thickBot="1" x14ac:dyDescent="0.35">
      <c r="B52" s="124" t="s">
        <v>8</v>
      </c>
      <c r="C52" s="247">
        <f>VLOOKUP(B52,'Input keuzevariabelen'!$B:$C,2,FALSE)</f>
        <v>1</v>
      </c>
      <c r="D52" s="120">
        <v>2020</v>
      </c>
      <c r="E52" s="125" t="s">
        <v>10</v>
      </c>
      <c r="F52" s="250">
        <f>VLOOKUP(G52,'Input keuzevariabelen'!$F:$J,2,FALSE)</f>
        <v>2</v>
      </c>
      <c r="G52" s="96" t="s">
        <v>25</v>
      </c>
      <c r="H52" s="234">
        <v>9641890</v>
      </c>
      <c r="I52" s="211">
        <f t="shared" si="0"/>
        <v>9641890</v>
      </c>
      <c r="J52" s="91" t="str">
        <f>VLOOKUP(G52,'Input keuzevariabelen'!$F:$J,3,FALSE)</f>
        <v>kWh</v>
      </c>
      <c r="K52" s="91">
        <f>SUMIFS('Input keuzevariabelen'!$I:$I,'Input keuzevariabelen'!$F:$F,Data!G52,'Input keuzevariabelen'!$K:$K,Data!D52)</f>
        <v>556</v>
      </c>
      <c r="L52" s="91" t="str">
        <f>VLOOKUP(G52,'Input keuzevariabelen'!$F:$J,5,FALSE)</f>
        <v>gram CO2/kWh</v>
      </c>
      <c r="M52" s="209">
        <f t="shared" si="1"/>
        <v>5360.89084</v>
      </c>
      <c r="N52" s="99" t="s">
        <v>131</v>
      </c>
      <c r="O52" s="99" t="s">
        <v>109</v>
      </c>
      <c r="P52" s="100" t="s">
        <v>107</v>
      </c>
      <c r="Q52" s="91">
        <f>SUMIFS('Input keuzevariabelen'!$P:$P,'Input keuzevariabelen'!$M:$M,Data!G52)</f>
        <v>5.2199999999999998E-3</v>
      </c>
      <c r="R52" s="212">
        <f t="shared" si="2"/>
        <v>50330.665799999995</v>
      </c>
    </row>
    <row r="53" spans="2:18" ht="17.399999999999999" thickTop="1" thickBot="1" x14ac:dyDescent="0.35">
      <c r="B53" s="124" t="s">
        <v>8</v>
      </c>
      <c r="C53" s="247">
        <f>VLOOKUP(B53,'Input keuzevariabelen'!$B:$C,2,FALSE)</f>
        <v>1</v>
      </c>
      <c r="D53" s="120">
        <v>2020</v>
      </c>
      <c r="E53" s="125" t="s">
        <v>10</v>
      </c>
      <c r="F53" s="250">
        <f>VLOOKUP(G53,'Input keuzevariabelen'!$F:$J,2,FALSE)</f>
        <v>2</v>
      </c>
      <c r="G53" s="96" t="s">
        <v>27</v>
      </c>
      <c r="H53" s="233">
        <v>8914312</v>
      </c>
      <c r="I53" s="211">
        <f t="shared" si="0"/>
        <v>8914312</v>
      </c>
      <c r="J53" s="91" t="str">
        <f>VLOOKUP(G53,'Input keuzevariabelen'!$F:$J,3,FALSE)</f>
        <v>kWh</v>
      </c>
      <c r="K53" s="91">
        <f>SUMIFS('Input keuzevariabelen'!$I:$I,'Input keuzevariabelen'!$F:$F,Data!G53,'Input keuzevariabelen'!$K:$K,Data!D53)</f>
        <v>0</v>
      </c>
      <c r="L53" s="91" t="str">
        <f>VLOOKUP(G53,'Input keuzevariabelen'!$F:$J,5,FALSE)</f>
        <v>gram CO2/kWh</v>
      </c>
      <c r="M53" s="209">
        <f t="shared" si="1"/>
        <v>0</v>
      </c>
      <c r="N53" s="99" t="s">
        <v>131</v>
      </c>
      <c r="O53" s="99" t="s">
        <v>102</v>
      </c>
      <c r="P53" s="100" t="s">
        <v>108</v>
      </c>
      <c r="Q53" s="91">
        <f>SUMIFS('Input keuzevariabelen'!$P:$P,'Input keuzevariabelen'!$M:$M,Data!G53)</f>
        <v>5.2199999999999998E-3</v>
      </c>
      <c r="R53" s="212">
        <f t="shared" si="2"/>
        <v>46532.708639999997</v>
      </c>
    </row>
    <row r="54" spans="2:18" ht="17.399999999999999" thickTop="1" thickBot="1" x14ac:dyDescent="0.35">
      <c r="B54" s="124" t="s">
        <v>8</v>
      </c>
      <c r="C54" s="247">
        <f>VLOOKUP(B54,'Input keuzevariabelen'!$B:$C,2,FALSE)</f>
        <v>1</v>
      </c>
      <c r="D54" s="120">
        <v>2020</v>
      </c>
      <c r="E54" s="125" t="s">
        <v>10</v>
      </c>
      <c r="F54" s="250">
        <f>VLOOKUP(G54,'Input keuzevariabelen'!$F:$J,2,FALSE)</f>
        <v>2</v>
      </c>
      <c r="G54" s="96" t="s">
        <v>25</v>
      </c>
      <c r="H54" s="234">
        <v>36219336</v>
      </c>
      <c r="I54" s="211">
        <f t="shared" si="0"/>
        <v>36219336</v>
      </c>
      <c r="J54" s="91" t="str">
        <f>VLOOKUP(G54,'Input keuzevariabelen'!$F:$J,3,FALSE)</f>
        <v>kWh</v>
      </c>
      <c r="K54" s="91">
        <f>SUMIFS('Input keuzevariabelen'!$I:$I,'Input keuzevariabelen'!$F:$F,Data!G54,'Input keuzevariabelen'!$K:$K,Data!D54)</f>
        <v>556</v>
      </c>
      <c r="L54" s="91" t="str">
        <f>VLOOKUP(G54,'Input keuzevariabelen'!$F:$J,5,FALSE)</f>
        <v>gram CO2/kWh</v>
      </c>
      <c r="M54" s="209">
        <f t="shared" si="1"/>
        <v>20137.950816</v>
      </c>
      <c r="N54" s="99" t="s">
        <v>131</v>
      </c>
      <c r="O54" s="99" t="s">
        <v>109</v>
      </c>
      <c r="P54" s="100" t="s">
        <v>110</v>
      </c>
      <c r="Q54" s="91">
        <f>SUMIFS('Input keuzevariabelen'!$P:$P,'Input keuzevariabelen'!$M:$M,Data!G54)</f>
        <v>5.2199999999999998E-3</v>
      </c>
      <c r="R54" s="212">
        <f t="shared" si="2"/>
        <v>189064.93391999998</v>
      </c>
    </row>
    <row r="55" spans="2:18" ht="17.399999999999999" thickTop="1" thickBot="1" x14ac:dyDescent="0.35">
      <c r="B55" s="124" t="s">
        <v>8</v>
      </c>
      <c r="C55" s="247">
        <f>VLOOKUP(B55,'Input keuzevariabelen'!$B:$C,2,FALSE)</f>
        <v>1</v>
      </c>
      <c r="D55" s="120">
        <v>2020</v>
      </c>
      <c r="E55" s="125" t="s">
        <v>10</v>
      </c>
      <c r="F55" s="250">
        <f>VLOOKUP(G55,'Input keuzevariabelen'!$F:$J,2,FALSE)</f>
        <v>2</v>
      </c>
      <c r="G55" s="96" t="s">
        <v>27</v>
      </c>
      <c r="H55" s="233">
        <v>7408</v>
      </c>
      <c r="I55" s="211">
        <f t="shared" si="0"/>
        <v>7408</v>
      </c>
      <c r="J55" s="91" t="str">
        <f>VLOOKUP(G55,'Input keuzevariabelen'!$F:$J,3,FALSE)</f>
        <v>kWh</v>
      </c>
      <c r="K55" s="91">
        <f>SUMIFS('Input keuzevariabelen'!$I:$I,'Input keuzevariabelen'!$F:$F,Data!G55,'Input keuzevariabelen'!$K:$K,Data!D55)</f>
        <v>0</v>
      </c>
      <c r="L55" s="91" t="str">
        <f>VLOOKUP(G55,'Input keuzevariabelen'!$F:$J,5,FALSE)</f>
        <v>gram CO2/kWh</v>
      </c>
      <c r="M55" s="209">
        <f t="shared" si="1"/>
        <v>0</v>
      </c>
      <c r="N55" s="99" t="s">
        <v>131</v>
      </c>
      <c r="O55" s="99" t="s">
        <v>132</v>
      </c>
      <c r="P55" s="100" t="s">
        <v>110</v>
      </c>
      <c r="Q55" s="91">
        <f>SUMIFS('Input keuzevariabelen'!$P:$P,'Input keuzevariabelen'!$M:$M,Data!G55)</f>
        <v>5.2199999999999998E-3</v>
      </c>
      <c r="R55" s="212">
        <f t="shared" si="2"/>
        <v>38.669759999999997</v>
      </c>
    </row>
    <row r="56" spans="2:18" ht="17.399999999999999" thickTop="1" thickBot="1" x14ac:dyDescent="0.35">
      <c r="B56" s="124" t="s">
        <v>8</v>
      </c>
      <c r="C56" s="247">
        <f>VLOOKUP(B56,'Input keuzevariabelen'!$B:$C,2,FALSE)</f>
        <v>1</v>
      </c>
      <c r="D56" s="120">
        <v>2020</v>
      </c>
      <c r="E56" s="125" t="s">
        <v>10</v>
      </c>
      <c r="F56" s="250">
        <f>VLOOKUP(G56,'Input keuzevariabelen'!$F:$J,2,FALSE)</f>
        <v>1</v>
      </c>
      <c r="G56" s="96" t="s">
        <v>18</v>
      </c>
      <c r="H56" s="233">
        <v>19840</v>
      </c>
      <c r="I56" s="211">
        <f t="shared" si="0"/>
        <v>19840</v>
      </c>
      <c r="J56" s="91" t="str">
        <f>VLOOKUP(G56,'Input keuzevariabelen'!$F:$J,3,FALSE)</f>
        <v>m3</v>
      </c>
      <c r="K56" s="91">
        <f>SUMIFS('Input keuzevariabelen'!$I:$I,'Input keuzevariabelen'!$F:$F,Data!G56,'Input keuzevariabelen'!$K:$K,Data!D56)</f>
        <v>1884</v>
      </c>
      <c r="L56" s="91" t="str">
        <f>VLOOKUP(G56,'Input keuzevariabelen'!$F:$J,5,FALSE)</f>
        <v>gram CO2/m3</v>
      </c>
      <c r="M56" s="209">
        <f t="shared" si="1"/>
        <v>37.37856</v>
      </c>
      <c r="N56" s="99" t="s">
        <v>131</v>
      </c>
      <c r="O56" s="99" t="s">
        <v>112</v>
      </c>
      <c r="P56" s="100" t="s">
        <v>103</v>
      </c>
      <c r="Q56" s="91">
        <f>SUMIFS('Input keuzevariabelen'!$P:$P,'Input keuzevariabelen'!$M:$M,Data!G56)</f>
        <v>3.1649999999999998E-2</v>
      </c>
      <c r="R56" s="212">
        <f t="shared" si="2"/>
        <v>627.93599999999992</v>
      </c>
    </row>
    <row r="57" spans="2:18" ht="17.399999999999999" thickTop="1" thickBot="1" x14ac:dyDescent="0.35">
      <c r="B57" s="124" t="s">
        <v>8</v>
      </c>
      <c r="C57" s="247">
        <f>VLOOKUP(B57,'Input keuzevariabelen'!$B:$C,2,FALSE)</f>
        <v>1</v>
      </c>
      <c r="D57" s="120">
        <v>2020</v>
      </c>
      <c r="E57" s="125" t="s">
        <v>10</v>
      </c>
      <c r="F57" s="250">
        <f>VLOOKUP(G57,'Input keuzevariabelen'!$F:$J,2,FALSE)</f>
        <v>1</v>
      </c>
      <c r="G57" s="96" t="s">
        <v>18</v>
      </c>
      <c r="H57" s="233">
        <v>58378</v>
      </c>
      <c r="I57" s="211">
        <f t="shared" si="0"/>
        <v>58378</v>
      </c>
      <c r="J57" s="91" t="str">
        <f>VLOOKUP(G57,'Input keuzevariabelen'!$F:$J,3,FALSE)</f>
        <v>m3</v>
      </c>
      <c r="K57" s="91">
        <f>SUMIFS('Input keuzevariabelen'!$I:$I,'Input keuzevariabelen'!$F:$F,Data!G57,'Input keuzevariabelen'!$K:$K,Data!D57)</f>
        <v>1884</v>
      </c>
      <c r="L57" s="91" t="str">
        <f>VLOOKUP(G57,'Input keuzevariabelen'!$F:$J,5,FALSE)</f>
        <v>gram CO2/m3</v>
      </c>
      <c r="M57" s="209">
        <f t="shared" si="1"/>
        <v>109.98415199999999</v>
      </c>
      <c r="N57" s="99" t="s">
        <v>131</v>
      </c>
      <c r="O57" s="99" t="s">
        <v>112</v>
      </c>
      <c r="P57" s="100" t="s">
        <v>104</v>
      </c>
      <c r="Q57" s="91">
        <f>SUMIFS('Input keuzevariabelen'!$P:$P,'Input keuzevariabelen'!$M:$M,Data!G57)</f>
        <v>3.1649999999999998E-2</v>
      </c>
      <c r="R57" s="212">
        <f t="shared" si="2"/>
        <v>1847.6636999999998</v>
      </c>
    </row>
    <row r="58" spans="2:18" ht="17.399999999999999" thickTop="1" thickBot="1" x14ac:dyDescent="0.35">
      <c r="B58" s="124" t="s">
        <v>8</v>
      </c>
      <c r="C58" s="247">
        <f>VLOOKUP(B58,'Input keuzevariabelen'!$B:$C,2,FALSE)</f>
        <v>1</v>
      </c>
      <c r="D58" s="120">
        <v>2020</v>
      </c>
      <c r="E58" s="125" t="s">
        <v>10</v>
      </c>
      <c r="F58" s="250">
        <f>VLOOKUP(G58,'Input keuzevariabelen'!$F:$J,2,FALSE)</f>
        <v>1</v>
      </c>
      <c r="G58" s="96" t="s">
        <v>18</v>
      </c>
      <c r="H58" s="233">
        <v>11050</v>
      </c>
      <c r="I58" s="211">
        <f t="shared" si="0"/>
        <v>11050</v>
      </c>
      <c r="J58" s="91" t="str">
        <f>VLOOKUP(G58,'Input keuzevariabelen'!$F:$J,3,FALSE)</f>
        <v>m3</v>
      </c>
      <c r="K58" s="91">
        <f>SUMIFS('Input keuzevariabelen'!$I:$I,'Input keuzevariabelen'!$F:$F,Data!G58,'Input keuzevariabelen'!$K:$K,Data!D58)</f>
        <v>1884</v>
      </c>
      <c r="L58" s="91" t="str">
        <f>VLOOKUP(G58,'Input keuzevariabelen'!$F:$J,5,FALSE)</f>
        <v>gram CO2/m3</v>
      </c>
      <c r="M58" s="209">
        <f t="shared" si="1"/>
        <v>20.818200000000001</v>
      </c>
      <c r="N58" s="99" t="s">
        <v>131</v>
      </c>
      <c r="O58" s="99" t="s">
        <v>112</v>
      </c>
      <c r="P58" s="100" t="s">
        <v>105</v>
      </c>
      <c r="Q58" s="91">
        <f>SUMIFS('Input keuzevariabelen'!$P:$P,'Input keuzevariabelen'!$M:$M,Data!G58)</f>
        <v>3.1649999999999998E-2</v>
      </c>
      <c r="R58" s="212">
        <f t="shared" si="2"/>
        <v>349.73249999999996</v>
      </c>
    </row>
    <row r="59" spans="2:18" ht="17.399999999999999" thickTop="1" thickBot="1" x14ac:dyDescent="0.35">
      <c r="B59" s="124" t="s">
        <v>8</v>
      </c>
      <c r="C59" s="247">
        <f>VLOOKUP(B59,'Input keuzevariabelen'!$B:$C,2,FALSE)</f>
        <v>1</v>
      </c>
      <c r="D59" s="120">
        <v>2020</v>
      </c>
      <c r="E59" s="125" t="s">
        <v>10</v>
      </c>
      <c r="F59" s="250">
        <f>VLOOKUP(G59,'Input keuzevariabelen'!$F:$J,2,FALSE)</f>
        <v>1</v>
      </c>
      <c r="G59" s="96" t="s">
        <v>18</v>
      </c>
      <c r="H59" s="233">
        <v>40029</v>
      </c>
      <c r="I59" s="211">
        <f t="shared" si="0"/>
        <v>40029</v>
      </c>
      <c r="J59" s="91" t="str">
        <f>VLOOKUP(G59,'Input keuzevariabelen'!$F:$J,3,FALSE)</f>
        <v>m3</v>
      </c>
      <c r="K59" s="91">
        <f>SUMIFS('Input keuzevariabelen'!$I:$I,'Input keuzevariabelen'!$F:$F,Data!G59,'Input keuzevariabelen'!$K:$K,Data!D59)</f>
        <v>1884</v>
      </c>
      <c r="L59" s="91" t="str">
        <f>VLOOKUP(G59,'Input keuzevariabelen'!$F:$J,5,FALSE)</f>
        <v>gram CO2/m3</v>
      </c>
      <c r="M59" s="209">
        <f t="shared" si="1"/>
        <v>75.414636000000002</v>
      </c>
      <c r="N59" s="99" t="s">
        <v>131</v>
      </c>
      <c r="O59" s="99" t="s">
        <v>112</v>
      </c>
      <c r="P59" s="100" t="s">
        <v>107</v>
      </c>
      <c r="Q59" s="91">
        <f>SUMIFS('Input keuzevariabelen'!$P:$P,'Input keuzevariabelen'!$M:$M,Data!G59)</f>
        <v>3.1649999999999998E-2</v>
      </c>
      <c r="R59" s="212">
        <f t="shared" si="2"/>
        <v>1266.9178499999998</v>
      </c>
    </row>
    <row r="60" spans="2:18" ht="17.399999999999999" thickTop="1" thickBot="1" x14ac:dyDescent="0.35">
      <c r="B60" s="124" t="s">
        <v>8</v>
      </c>
      <c r="C60" s="247">
        <f>VLOOKUP(B60,'Input keuzevariabelen'!$B:$C,2,FALSE)</f>
        <v>1</v>
      </c>
      <c r="D60" s="120">
        <v>2020</v>
      </c>
      <c r="E60" s="125" t="s">
        <v>10</v>
      </c>
      <c r="F60" s="250">
        <f>VLOOKUP(G60,'Input keuzevariabelen'!$F:$J,2,FALSE)</f>
        <v>1</v>
      </c>
      <c r="G60" s="96" t="s">
        <v>18</v>
      </c>
      <c r="H60" s="233">
        <v>447554</v>
      </c>
      <c r="I60" s="211">
        <f t="shared" si="0"/>
        <v>447554</v>
      </c>
      <c r="J60" s="91" t="str">
        <f>VLOOKUP(G60,'Input keuzevariabelen'!$F:$J,3,FALSE)</f>
        <v>m3</v>
      </c>
      <c r="K60" s="91">
        <f>SUMIFS('Input keuzevariabelen'!$I:$I,'Input keuzevariabelen'!$F:$F,Data!G60,'Input keuzevariabelen'!$K:$K,Data!D60)</f>
        <v>1884</v>
      </c>
      <c r="L60" s="91" t="str">
        <f>VLOOKUP(G60,'Input keuzevariabelen'!$F:$J,5,FALSE)</f>
        <v>gram CO2/m3</v>
      </c>
      <c r="M60" s="209">
        <f t="shared" si="1"/>
        <v>843.19173599999999</v>
      </c>
      <c r="N60" s="99" t="s">
        <v>131</v>
      </c>
      <c r="O60" s="99" t="s">
        <v>112</v>
      </c>
      <c r="P60" s="100" t="s">
        <v>108</v>
      </c>
      <c r="Q60" s="91">
        <f>SUMIFS('Input keuzevariabelen'!$P:$P,'Input keuzevariabelen'!$M:$M,Data!G60)</f>
        <v>3.1649999999999998E-2</v>
      </c>
      <c r="R60" s="212">
        <f t="shared" si="2"/>
        <v>14165.084099999998</v>
      </c>
    </row>
    <row r="61" spans="2:18" ht="17.399999999999999" thickTop="1" thickBot="1" x14ac:dyDescent="0.35">
      <c r="B61" s="124" t="s">
        <v>8</v>
      </c>
      <c r="C61" s="247">
        <f>VLOOKUP(B61,'Input keuzevariabelen'!$B:$C,2,FALSE)</f>
        <v>1</v>
      </c>
      <c r="D61" s="120">
        <v>2020</v>
      </c>
      <c r="E61" s="125" t="s">
        <v>10</v>
      </c>
      <c r="F61" s="250">
        <f>VLOOKUP(G61,'Input keuzevariabelen'!$F:$J,2,FALSE)</f>
        <v>1</v>
      </c>
      <c r="G61" s="96" t="s">
        <v>18</v>
      </c>
      <c r="H61" s="233">
        <v>924165</v>
      </c>
      <c r="I61" s="211">
        <f t="shared" si="0"/>
        <v>924165</v>
      </c>
      <c r="J61" s="91" t="str">
        <f>VLOOKUP(G61,'Input keuzevariabelen'!$F:$J,3,FALSE)</f>
        <v>m3</v>
      </c>
      <c r="K61" s="91">
        <f>SUMIFS('Input keuzevariabelen'!$I:$I,'Input keuzevariabelen'!$F:$F,Data!G61,'Input keuzevariabelen'!$K:$K,Data!D61)</f>
        <v>1884</v>
      </c>
      <c r="L61" s="91" t="str">
        <f>VLOOKUP(G61,'Input keuzevariabelen'!$F:$J,5,FALSE)</f>
        <v>gram CO2/m3</v>
      </c>
      <c r="M61" s="209">
        <f t="shared" si="1"/>
        <v>1741.1268600000001</v>
      </c>
      <c r="N61" s="99" t="s">
        <v>131</v>
      </c>
      <c r="O61" s="99" t="s">
        <v>112</v>
      </c>
      <c r="P61" s="100" t="s">
        <v>110</v>
      </c>
      <c r="Q61" s="91">
        <f>SUMIFS('Input keuzevariabelen'!$P:$P,'Input keuzevariabelen'!$M:$M,Data!G61)</f>
        <v>3.1649999999999998E-2</v>
      </c>
      <c r="R61" s="212">
        <f t="shared" si="2"/>
        <v>29249.822249999997</v>
      </c>
    </row>
    <row r="62" spans="2:18" ht="17.399999999999999" thickTop="1" thickBot="1" x14ac:dyDescent="0.35">
      <c r="B62" s="124" t="s">
        <v>8</v>
      </c>
      <c r="C62" s="247">
        <f>VLOOKUP(B62,'Input keuzevariabelen'!$B:$C,2,FALSE)</f>
        <v>1</v>
      </c>
      <c r="D62" s="120">
        <v>2020</v>
      </c>
      <c r="E62" s="125" t="s">
        <v>10</v>
      </c>
      <c r="F62" s="250" t="str">
        <f>VLOOKUP(G62,'Input keuzevariabelen'!$F:$J,2,FALSE)</f>
        <v>Memo</v>
      </c>
      <c r="G62" s="96" t="s">
        <v>40</v>
      </c>
      <c r="H62" s="233">
        <v>379756</v>
      </c>
      <c r="I62" s="211">
        <f t="shared" si="0"/>
        <v>379756</v>
      </c>
      <c r="J62" s="91" t="str">
        <f>VLOOKUP(G62,'Input keuzevariabelen'!$F:$J,3,FALSE)</f>
        <v>m3</v>
      </c>
      <c r="K62" s="91">
        <f>SUMIFS('Input keuzevariabelen'!$I:$I,'Input keuzevariabelen'!$F:$F,Data!G62,'Input keuzevariabelen'!$K:$K,Data!D62)</f>
        <v>1962</v>
      </c>
      <c r="L62" s="91" t="str">
        <f>VLOOKUP(G62,'Input keuzevariabelen'!$F:$J,5,FALSE)</f>
        <v>gram CO2/m3</v>
      </c>
      <c r="M62" s="209">
        <f t="shared" si="1"/>
        <v>745.08127200000001</v>
      </c>
      <c r="N62" s="99" t="s">
        <v>131</v>
      </c>
      <c r="O62" s="99" t="s">
        <v>113</v>
      </c>
      <c r="P62" s="100" t="s">
        <v>105</v>
      </c>
      <c r="Q62" s="91">
        <f>SUMIFS('Input keuzevariabelen'!$P:$P,'Input keuzevariabelen'!$M:$M,Data!G62)</f>
        <v>0</v>
      </c>
      <c r="R62" s="212">
        <f t="shared" si="2"/>
        <v>0</v>
      </c>
    </row>
    <row r="63" spans="2:18" ht="17.399999999999999" thickTop="1" thickBot="1" x14ac:dyDescent="0.35">
      <c r="B63" s="124" t="s">
        <v>8</v>
      </c>
      <c r="C63" s="247">
        <f>VLOOKUP(B63,'Input keuzevariabelen'!$B:$C,2,FALSE)</f>
        <v>1</v>
      </c>
      <c r="D63" s="120">
        <v>2020</v>
      </c>
      <c r="E63" s="125" t="s">
        <v>10</v>
      </c>
      <c r="F63" s="250" t="str">
        <f>VLOOKUP(G63,'Input keuzevariabelen'!$F:$J,2,FALSE)</f>
        <v>Memo</v>
      </c>
      <c r="G63" s="96" t="s">
        <v>40</v>
      </c>
      <c r="H63" s="233">
        <v>3080427</v>
      </c>
      <c r="I63" s="211">
        <f t="shared" si="0"/>
        <v>3080427</v>
      </c>
      <c r="J63" s="91" t="str">
        <f>VLOOKUP(G63,'Input keuzevariabelen'!$F:$J,3,FALSE)</f>
        <v>m3</v>
      </c>
      <c r="K63" s="91">
        <f>SUMIFS('Input keuzevariabelen'!$I:$I,'Input keuzevariabelen'!$F:$F,Data!G63,'Input keuzevariabelen'!$K:$K,Data!D63)</f>
        <v>1962</v>
      </c>
      <c r="L63" s="91" t="str">
        <f>VLOOKUP(G63,'Input keuzevariabelen'!$F:$J,5,FALSE)</f>
        <v>gram CO2/m3</v>
      </c>
      <c r="M63" s="209">
        <f t="shared" si="1"/>
        <v>6043.7977739999997</v>
      </c>
      <c r="N63" s="99" t="s">
        <v>131</v>
      </c>
      <c r="O63" s="99" t="s">
        <v>113</v>
      </c>
      <c r="P63" s="100" t="s">
        <v>107</v>
      </c>
      <c r="Q63" s="91">
        <f>SUMIFS('Input keuzevariabelen'!$P:$P,'Input keuzevariabelen'!$M:$M,Data!G63)</f>
        <v>0</v>
      </c>
      <c r="R63" s="212">
        <f t="shared" si="2"/>
        <v>0</v>
      </c>
    </row>
    <row r="64" spans="2:18" ht="17.399999999999999" thickTop="1" thickBot="1" x14ac:dyDescent="0.35">
      <c r="B64" s="124" t="s">
        <v>8</v>
      </c>
      <c r="C64" s="247">
        <f>VLOOKUP(B64,'Input keuzevariabelen'!$B:$C,2,FALSE)</f>
        <v>1</v>
      </c>
      <c r="D64" s="120">
        <v>2020</v>
      </c>
      <c r="E64" s="125" t="s">
        <v>10</v>
      </c>
      <c r="F64" s="250" t="str">
        <f>VLOOKUP(G64,'Input keuzevariabelen'!$F:$J,2,FALSE)</f>
        <v>Memo</v>
      </c>
      <c r="G64" s="96" t="s">
        <v>40</v>
      </c>
      <c r="H64" s="233">
        <v>418257</v>
      </c>
      <c r="I64" s="211">
        <f t="shared" si="0"/>
        <v>418257</v>
      </c>
      <c r="J64" s="91" t="str">
        <f>VLOOKUP(G64,'Input keuzevariabelen'!$F:$J,3,FALSE)</f>
        <v>m3</v>
      </c>
      <c r="K64" s="91">
        <f>SUMIFS('Input keuzevariabelen'!$I:$I,'Input keuzevariabelen'!$F:$F,Data!G64,'Input keuzevariabelen'!$K:$K,Data!D64)</f>
        <v>1962</v>
      </c>
      <c r="L64" s="91" t="str">
        <f>VLOOKUP(G64,'Input keuzevariabelen'!$F:$J,5,FALSE)</f>
        <v>gram CO2/m3</v>
      </c>
      <c r="M64" s="209">
        <f t="shared" si="1"/>
        <v>820.62023399999998</v>
      </c>
      <c r="N64" s="99" t="s">
        <v>131</v>
      </c>
      <c r="O64" s="99" t="s">
        <v>113</v>
      </c>
      <c r="P64" s="100" t="s">
        <v>110</v>
      </c>
      <c r="Q64" s="91">
        <f>SUMIFS('Input keuzevariabelen'!$P:$P,'Input keuzevariabelen'!$M:$M,Data!G64)</f>
        <v>0</v>
      </c>
      <c r="R64" s="212">
        <f t="shared" si="2"/>
        <v>0</v>
      </c>
    </row>
    <row r="65" spans="2:18" ht="17.399999999999999" thickTop="1" thickBot="1" x14ac:dyDescent="0.35">
      <c r="B65" s="124" t="s">
        <v>8</v>
      </c>
      <c r="C65" s="247">
        <f>VLOOKUP(B65,'Input keuzevariabelen'!$B:$C,2,FALSE)</f>
        <v>1</v>
      </c>
      <c r="D65" s="120">
        <v>2020</v>
      </c>
      <c r="E65" s="125" t="s">
        <v>10</v>
      </c>
      <c r="F65" s="250" t="str">
        <f>VLOOKUP(G65,'Input keuzevariabelen'!$F:$J,2,FALSE)</f>
        <v>Memo</v>
      </c>
      <c r="G65" s="96" t="s">
        <v>42</v>
      </c>
      <c r="H65" s="233">
        <v>9578</v>
      </c>
      <c r="I65" s="211">
        <f t="shared" si="0"/>
        <v>9578</v>
      </c>
      <c r="J65" s="91" t="str">
        <f>VLOOKUP(G65,'Input keuzevariabelen'!$F:$J,3,FALSE)</f>
        <v>m3</v>
      </c>
      <c r="K65" s="91">
        <f>SUMIFS('Input keuzevariabelen'!$I:$I,'Input keuzevariabelen'!$F:$F,Data!G65,'Input keuzevariabelen'!$K:$K,Data!D65)</f>
        <v>1962</v>
      </c>
      <c r="L65" s="91" t="str">
        <f>VLOOKUP(G65,'Input keuzevariabelen'!$F:$J,5,FALSE)</f>
        <v>gram CO2/m3</v>
      </c>
      <c r="M65" s="209">
        <f t="shared" si="1"/>
        <v>18.792036</v>
      </c>
      <c r="N65" s="99" t="s">
        <v>131</v>
      </c>
      <c r="O65" s="99" t="s">
        <v>114</v>
      </c>
      <c r="P65" s="100" t="s">
        <v>105</v>
      </c>
      <c r="Q65" s="91">
        <f>SUMIFS('Input keuzevariabelen'!$P:$P,'Input keuzevariabelen'!$M:$M,Data!G65)</f>
        <v>0</v>
      </c>
      <c r="R65" s="212">
        <f t="shared" si="2"/>
        <v>0</v>
      </c>
    </row>
    <row r="66" spans="2:18" ht="17.399999999999999" thickTop="1" thickBot="1" x14ac:dyDescent="0.35">
      <c r="B66" s="124" t="s">
        <v>8</v>
      </c>
      <c r="C66" s="247">
        <f>VLOOKUP(B66,'Input keuzevariabelen'!$B:$C,2,FALSE)</f>
        <v>1</v>
      </c>
      <c r="D66" s="120">
        <v>2020</v>
      </c>
      <c r="E66" s="125" t="s">
        <v>10</v>
      </c>
      <c r="F66" s="250" t="str">
        <f>VLOOKUP(G66,'Input keuzevariabelen'!$F:$J,2,FALSE)</f>
        <v>Memo</v>
      </c>
      <c r="G66" s="96" t="s">
        <v>42</v>
      </c>
      <c r="H66" s="233">
        <v>6452</v>
      </c>
      <c r="I66" s="211">
        <f t="shared" si="0"/>
        <v>6452</v>
      </c>
      <c r="J66" s="91" t="str">
        <f>VLOOKUP(G66,'Input keuzevariabelen'!$F:$J,3,FALSE)</f>
        <v>m3</v>
      </c>
      <c r="K66" s="91">
        <f>SUMIFS('Input keuzevariabelen'!$I:$I,'Input keuzevariabelen'!$F:$F,Data!G66,'Input keuzevariabelen'!$K:$K,Data!D66)</f>
        <v>1962</v>
      </c>
      <c r="L66" s="91" t="str">
        <f>VLOOKUP(G66,'Input keuzevariabelen'!$F:$J,5,FALSE)</f>
        <v>gram CO2/m3</v>
      </c>
      <c r="M66" s="209">
        <f t="shared" si="1"/>
        <v>12.658823999999999</v>
      </c>
      <c r="N66" s="99" t="s">
        <v>131</v>
      </c>
      <c r="O66" s="99" t="s">
        <v>114</v>
      </c>
      <c r="P66" s="100" t="s">
        <v>107</v>
      </c>
      <c r="Q66" s="91">
        <f>SUMIFS('Input keuzevariabelen'!$P:$P,'Input keuzevariabelen'!$M:$M,Data!G66)</f>
        <v>0</v>
      </c>
      <c r="R66" s="212">
        <f t="shared" si="2"/>
        <v>0</v>
      </c>
    </row>
    <row r="67" spans="2:18" ht="17.399999999999999" thickTop="1" thickBot="1" x14ac:dyDescent="0.35">
      <c r="B67" s="124" t="s">
        <v>8</v>
      </c>
      <c r="C67" s="247">
        <f>VLOOKUP(B67,'Input keuzevariabelen'!$B:$C,2,FALSE)</f>
        <v>1</v>
      </c>
      <c r="D67" s="120">
        <v>2020</v>
      </c>
      <c r="E67" s="125" t="s">
        <v>10</v>
      </c>
      <c r="F67" s="250" t="str">
        <f>VLOOKUP(G67,'Input keuzevariabelen'!$F:$J,2,FALSE)</f>
        <v>Memo</v>
      </c>
      <c r="G67" s="96" t="s">
        <v>42</v>
      </c>
      <c r="H67" s="233">
        <v>33635</v>
      </c>
      <c r="I67" s="211">
        <f t="shared" si="0"/>
        <v>33635</v>
      </c>
      <c r="J67" s="91" t="str">
        <f>VLOOKUP(G67,'Input keuzevariabelen'!$F:$J,3,FALSE)</f>
        <v>m3</v>
      </c>
      <c r="K67" s="91">
        <f>SUMIFS('Input keuzevariabelen'!$I:$I,'Input keuzevariabelen'!$F:$F,Data!G67,'Input keuzevariabelen'!$K:$K,Data!D67)</f>
        <v>1962</v>
      </c>
      <c r="L67" s="91" t="str">
        <f>VLOOKUP(G67,'Input keuzevariabelen'!$F:$J,5,FALSE)</f>
        <v>gram CO2/m3</v>
      </c>
      <c r="M67" s="209">
        <f t="shared" si="1"/>
        <v>65.991870000000006</v>
      </c>
      <c r="N67" s="99" t="s">
        <v>131</v>
      </c>
      <c r="O67" s="99" t="s">
        <v>114</v>
      </c>
      <c r="P67" s="100" t="s">
        <v>108</v>
      </c>
      <c r="Q67" s="91">
        <f>SUMIFS('Input keuzevariabelen'!$P:$P,'Input keuzevariabelen'!$M:$M,Data!G67)</f>
        <v>0</v>
      </c>
      <c r="R67" s="212">
        <f t="shared" si="2"/>
        <v>0</v>
      </c>
    </row>
    <row r="68" spans="2:18" ht="17.399999999999999" thickTop="1" thickBot="1" x14ac:dyDescent="0.35">
      <c r="B68" s="124" t="s">
        <v>8</v>
      </c>
      <c r="C68" s="247">
        <f>VLOOKUP(B68,'Input keuzevariabelen'!$B:$C,2,FALSE)</f>
        <v>1</v>
      </c>
      <c r="D68" s="120">
        <v>2020</v>
      </c>
      <c r="E68" s="125" t="s">
        <v>10</v>
      </c>
      <c r="F68" s="250" t="str">
        <f>VLOOKUP(G68,'Input keuzevariabelen'!$F:$J,2,FALSE)</f>
        <v>Memo</v>
      </c>
      <c r="G68" s="96" t="s">
        <v>42</v>
      </c>
      <c r="H68" s="233">
        <v>35970</v>
      </c>
      <c r="I68" s="211">
        <f t="shared" ref="I68:I129" si="3">H68*C68</f>
        <v>35970</v>
      </c>
      <c r="J68" s="91" t="str">
        <f>VLOOKUP(G68,'Input keuzevariabelen'!$F:$J,3,FALSE)</f>
        <v>m3</v>
      </c>
      <c r="K68" s="91">
        <f>SUMIFS('Input keuzevariabelen'!$I:$I,'Input keuzevariabelen'!$F:$F,Data!G68,'Input keuzevariabelen'!$K:$K,Data!D68)</f>
        <v>1962</v>
      </c>
      <c r="L68" s="91" t="str">
        <f>VLOOKUP(G68,'Input keuzevariabelen'!$F:$J,5,FALSE)</f>
        <v>gram CO2/m3</v>
      </c>
      <c r="M68" s="209">
        <f t="shared" ref="M68:M129" si="4">I68*K68/1000000</f>
        <v>70.573139999999995</v>
      </c>
      <c r="N68" s="99" t="s">
        <v>131</v>
      </c>
      <c r="O68" s="99" t="s">
        <v>114</v>
      </c>
      <c r="P68" s="100" t="s">
        <v>110</v>
      </c>
      <c r="Q68" s="91">
        <f>SUMIFS('Input keuzevariabelen'!$P:$P,'Input keuzevariabelen'!$M:$M,Data!G68)</f>
        <v>0</v>
      </c>
      <c r="R68" s="212">
        <f t="shared" ref="R68:R129" si="5">I68*Q68</f>
        <v>0</v>
      </c>
    </row>
    <row r="69" spans="2:18" ht="17.399999999999999" thickTop="1" thickBot="1" x14ac:dyDescent="0.35">
      <c r="B69" s="124" t="s">
        <v>8</v>
      </c>
      <c r="C69" s="247">
        <f>VLOOKUP(B69,'Input keuzevariabelen'!$B:$C,2,FALSE)</f>
        <v>1</v>
      </c>
      <c r="D69" s="120">
        <v>2020</v>
      </c>
      <c r="E69" s="125" t="s">
        <v>10</v>
      </c>
      <c r="F69" s="250">
        <f>VLOOKUP(G69,'Input keuzevariabelen'!$F:$J,2,FALSE)</f>
        <v>1</v>
      </c>
      <c r="G69" s="96" t="s">
        <v>133</v>
      </c>
      <c r="H69" s="233">
        <v>600</v>
      </c>
      <c r="I69" s="211">
        <f t="shared" si="3"/>
        <v>600</v>
      </c>
      <c r="J69" s="91" t="str">
        <f>VLOOKUP(G69,'Input keuzevariabelen'!$F:$J,3,FALSE)</f>
        <v>m3</v>
      </c>
      <c r="K69" s="91">
        <f>SUMIFS('Input keuzevariabelen'!$I:$I,'Input keuzevariabelen'!$F:$F,Data!G69,'Input keuzevariabelen'!$K:$K,Data!D69)</f>
        <v>11050</v>
      </c>
      <c r="L69" s="91" t="str">
        <f>VLOOKUP(G69,'Input keuzevariabelen'!$F:$J,5,FALSE)</f>
        <v>gram CO2/m3</v>
      </c>
      <c r="M69" s="209">
        <f t="shared" si="4"/>
        <v>6.63</v>
      </c>
      <c r="N69" s="99" t="s">
        <v>131</v>
      </c>
      <c r="O69" s="99" t="s">
        <v>114</v>
      </c>
      <c r="P69" s="100" t="s">
        <v>107</v>
      </c>
      <c r="Q69" s="91">
        <f>SUMIFS('Input keuzevariabelen'!$P:$P,'Input keuzevariabelen'!$M:$M,Data!G69)</f>
        <v>2.3300000000000001E-2</v>
      </c>
      <c r="R69" s="212">
        <f t="shared" si="5"/>
        <v>13.98</v>
      </c>
    </row>
    <row r="70" spans="2:18" ht="17.399999999999999" thickTop="1" thickBot="1" x14ac:dyDescent="0.35">
      <c r="B70" s="124" t="s">
        <v>8</v>
      </c>
      <c r="C70" s="247">
        <f>VLOOKUP(B70,'Input keuzevariabelen'!$B:$C,2,FALSE)</f>
        <v>1</v>
      </c>
      <c r="D70" s="120">
        <v>2020</v>
      </c>
      <c r="E70" s="125" t="s">
        <v>10</v>
      </c>
      <c r="F70" s="250">
        <f>VLOOKUP(G70,'Input keuzevariabelen'!$F:$J,2,FALSE)</f>
        <v>1</v>
      </c>
      <c r="G70" s="96" t="s">
        <v>20</v>
      </c>
      <c r="H70" s="233">
        <v>4788</v>
      </c>
      <c r="I70" s="211">
        <f t="shared" si="3"/>
        <v>4788</v>
      </c>
      <c r="J70" s="91" t="str">
        <f>VLOOKUP(G70,'Input keuzevariabelen'!$F:$J,3,FALSE)</f>
        <v>liter</v>
      </c>
      <c r="K70" s="91">
        <f>SUMIFS('Input keuzevariabelen'!$I:$I,'Input keuzevariabelen'!$F:$F,Data!G70,'Input keuzevariabelen'!$K:$K,Data!D70)</f>
        <v>3262</v>
      </c>
      <c r="L70" s="91" t="str">
        <f>VLOOKUP(G70,'Input keuzevariabelen'!$F:$J,5,FALSE)</f>
        <v>gram CO2/liter</v>
      </c>
      <c r="M70" s="209">
        <f t="shared" si="4"/>
        <v>15.618456</v>
      </c>
      <c r="N70" s="99" t="s">
        <v>131</v>
      </c>
      <c r="O70" s="99" t="s">
        <v>115</v>
      </c>
      <c r="P70" s="100" t="s">
        <v>110</v>
      </c>
      <c r="Q70" s="91">
        <f>SUMIFS('Input keuzevariabelen'!$P:$P,'Input keuzevariabelen'!$M:$M,Data!G70)</f>
        <v>3.6299999999999999E-2</v>
      </c>
      <c r="R70" s="212">
        <f t="shared" si="5"/>
        <v>173.80439999999999</v>
      </c>
    </row>
    <row r="71" spans="2:18" ht="17.399999999999999" thickTop="1" thickBot="1" x14ac:dyDescent="0.35">
      <c r="B71" s="124" t="s">
        <v>8</v>
      </c>
      <c r="C71" s="247">
        <f>VLOOKUP(B71,'Input keuzevariabelen'!$B:$C,2,FALSE)</f>
        <v>1</v>
      </c>
      <c r="D71" s="120">
        <v>2020</v>
      </c>
      <c r="E71" s="125" t="s">
        <v>10</v>
      </c>
      <c r="F71" s="250">
        <f>VLOOKUP(G71,'Input keuzevariabelen'!$F:$J,2,FALSE)</f>
        <v>1</v>
      </c>
      <c r="G71" s="96" t="s">
        <v>22</v>
      </c>
      <c r="H71" s="233">
        <v>2406</v>
      </c>
      <c r="I71" s="211">
        <f t="shared" si="3"/>
        <v>2406</v>
      </c>
      <c r="J71" s="91" t="str">
        <f>VLOOKUP(G71,'Input keuzevariabelen'!$F:$J,3,FALSE)</f>
        <v>liter</v>
      </c>
      <c r="K71" s="91">
        <f>SUMIFS('Input keuzevariabelen'!$I:$I,'Input keuzevariabelen'!$F:$F,Data!G71,'Input keuzevariabelen'!$K:$K,Data!D71)</f>
        <v>2784</v>
      </c>
      <c r="L71" s="91" t="str">
        <f>VLOOKUP(G71,'Input keuzevariabelen'!$F:$J,5,FALSE)</f>
        <v>gram CO2/liter</v>
      </c>
      <c r="M71" s="209">
        <f t="shared" si="4"/>
        <v>6.6983040000000003</v>
      </c>
      <c r="N71" s="99" t="s">
        <v>134</v>
      </c>
      <c r="O71" s="99" t="s">
        <v>118</v>
      </c>
      <c r="P71" s="100"/>
      <c r="Q71" s="91">
        <f>SUMIFS('Input keuzevariabelen'!$P:$P,'Input keuzevariabelen'!$M:$M,Data!G71)</f>
        <v>3.1E-2</v>
      </c>
      <c r="R71" s="212">
        <f t="shared" si="5"/>
        <v>74.585999999999999</v>
      </c>
    </row>
    <row r="72" spans="2:18" ht="17.399999999999999" thickTop="1" thickBot="1" x14ac:dyDescent="0.35">
      <c r="B72" s="124" t="s">
        <v>8</v>
      </c>
      <c r="C72" s="247">
        <f>VLOOKUP(B72,'Input keuzevariabelen'!$B:$C,2,FALSE)</f>
        <v>1</v>
      </c>
      <c r="D72" s="120">
        <v>2020</v>
      </c>
      <c r="E72" s="125" t="s">
        <v>10</v>
      </c>
      <c r="F72" s="250">
        <f>VLOOKUP(G72,'Input keuzevariabelen'!$F:$J,2,FALSE)</f>
        <v>1</v>
      </c>
      <c r="G72" s="96" t="s">
        <v>20</v>
      </c>
      <c r="H72" s="233">
        <v>27692</v>
      </c>
      <c r="I72" s="211">
        <f t="shared" si="3"/>
        <v>27692</v>
      </c>
      <c r="J72" s="91" t="str">
        <f>VLOOKUP(G72,'Input keuzevariabelen'!$F:$J,3,FALSE)</f>
        <v>liter</v>
      </c>
      <c r="K72" s="91">
        <f>SUMIFS('Input keuzevariabelen'!$I:$I,'Input keuzevariabelen'!$F:$F,Data!G72,'Input keuzevariabelen'!$K:$K,Data!D72)</f>
        <v>3262</v>
      </c>
      <c r="L72" s="91" t="str">
        <f>VLOOKUP(G72,'Input keuzevariabelen'!$F:$J,5,FALSE)</f>
        <v>gram CO2/liter</v>
      </c>
      <c r="M72" s="209">
        <f t="shared" si="4"/>
        <v>90.331304000000003</v>
      </c>
      <c r="N72" s="99" t="s">
        <v>134</v>
      </c>
      <c r="O72" s="99" t="s">
        <v>119</v>
      </c>
      <c r="P72" s="100"/>
      <c r="Q72" s="91">
        <f>SUMIFS('Input keuzevariabelen'!$P:$P,'Input keuzevariabelen'!$M:$M,Data!G72)</f>
        <v>3.6299999999999999E-2</v>
      </c>
      <c r="R72" s="212">
        <f t="shared" si="5"/>
        <v>1005.2196</v>
      </c>
    </row>
    <row r="73" spans="2:18" ht="17.399999999999999" thickTop="1" thickBot="1" x14ac:dyDescent="0.35">
      <c r="B73" s="124" t="s">
        <v>8</v>
      </c>
      <c r="C73" s="247">
        <f>VLOOKUP(B73,'Input keuzevariabelen'!$B:$C,2,FALSE)</f>
        <v>1</v>
      </c>
      <c r="D73" s="120">
        <v>2020</v>
      </c>
      <c r="E73" s="125" t="s">
        <v>10</v>
      </c>
      <c r="F73" s="250">
        <f>VLOOKUP(G73,'Input keuzevariabelen'!$F:$J,2,FALSE)</f>
        <v>2</v>
      </c>
      <c r="G73" s="96" t="s">
        <v>28</v>
      </c>
      <c r="H73" s="233">
        <v>383</v>
      </c>
      <c r="I73" s="211">
        <f t="shared" si="3"/>
        <v>383</v>
      </c>
      <c r="J73" s="91" t="str">
        <f>VLOOKUP(G73,'Input keuzevariabelen'!$F:$J,3,FALSE)</f>
        <v>kWh</v>
      </c>
      <c r="K73" s="91">
        <f>SUMIFS('Input keuzevariabelen'!$I:$I,'Input keuzevariabelen'!$F:$F,Data!G73,'Input keuzevariabelen'!$K:$K,Data!D73)</f>
        <v>556</v>
      </c>
      <c r="L73" s="91" t="str">
        <f>VLOOKUP(G73,'Input keuzevariabelen'!$F:$J,5,FALSE)</f>
        <v>gram CO2/kWh</v>
      </c>
      <c r="M73" s="209">
        <f t="shared" si="4"/>
        <v>0.212948</v>
      </c>
      <c r="N73" s="99" t="s">
        <v>134</v>
      </c>
      <c r="O73" s="99" t="s">
        <v>102</v>
      </c>
      <c r="P73" s="100"/>
      <c r="Q73" s="91">
        <f>SUMIFS('Input keuzevariabelen'!$P:$P,'Input keuzevariabelen'!$M:$M,Data!G73)</f>
        <v>5.2199999999999998E-3</v>
      </c>
      <c r="R73" s="212">
        <f t="shared" si="5"/>
        <v>1.99926</v>
      </c>
    </row>
    <row r="74" spans="2:18" ht="17.399999999999999" thickTop="1" thickBot="1" x14ac:dyDescent="0.35">
      <c r="B74" s="124" t="s">
        <v>8</v>
      </c>
      <c r="C74" s="247">
        <f>VLOOKUP(B74,'Input keuzevariabelen'!$B:$C,2,FALSE)</f>
        <v>1</v>
      </c>
      <c r="D74" s="120">
        <v>2020</v>
      </c>
      <c r="E74" s="125" t="s">
        <v>10</v>
      </c>
      <c r="F74" s="250" t="str">
        <f>VLOOKUP(G74,'Input keuzevariabelen'!$F:$J,2,FALSE)</f>
        <v>bt</v>
      </c>
      <c r="G74" s="96" t="s">
        <v>31</v>
      </c>
      <c r="H74" s="233">
        <v>257647</v>
      </c>
      <c r="I74" s="211">
        <f t="shared" si="3"/>
        <v>257647</v>
      </c>
      <c r="J74" s="91" t="str">
        <f>VLOOKUP(G74,'Input keuzevariabelen'!$F:$J,3,FALSE)</f>
        <v>km</v>
      </c>
      <c r="K74" s="91">
        <f>SUMIFS('Input keuzevariabelen'!$I:$I,'Input keuzevariabelen'!$F:$F,Data!G74,'Input keuzevariabelen'!$K:$K,Data!D74)</f>
        <v>195</v>
      </c>
      <c r="L74" s="91" t="str">
        <f>VLOOKUP(G74,'Input keuzevariabelen'!$F:$J,5,FALSE)</f>
        <v>gram CO2/km</v>
      </c>
      <c r="M74" s="209">
        <f t="shared" si="4"/>
        <v>50.241165000000002</v>
      </c>
      <c r="N74" s="99" t="s">
        <v>134</v>
      </c>
      <c r="O74" s="99"/>
      <c r="P74" s="100"/>
      <c r="Q74" s="91">
        <f>SUMIFS('Input keuzevariabelen'!$P:$P,'Input keuzevariabelen'!$M:$M,Data!G74)</f>
        <v>0</v>
      </c>
      <c r="R74" s="212">
        <f t="shared" si="5"/>
        <v>0</v>
      </c>
    </row>
    <row r="75" spans="2:18" ht="17.399999999999999" thickTop="1" thickBot="1" x14ac:dyDescent="0.35">
      <c r="B75" s="124" t="s">
        <v>8</v>
      </c>
      <c r="C75" s="247">
        <f>VLOOKUP(B75,'Input keuzevariabelen'!$B:$C,2,FALSE)</f>
        <v>1</v>
      </c>
      <c r="D75" s="120">
        <v>2020</v>
      </c>
      <c r="E75" s="125" t="s">
        <v>10</v>
      </c>
      <c r="F75" s="250" t="str">
        <f>VLOOKUP(G75,'Input keuzevariabelen'!$F:$J,2,FALSE)</f>
        <v>bt</v>
      </c>
      <c r="G75" s="96" t="s">
        <v>31</v>
      </c>
      <c r="H75" s="233">
        <v>831225</v>
      </c>
      <c r="I75" s="211">
        <f t="shared" si="3"/>
        <v>831225</v>
      </c>
      <c r="J75" s="91" t="str">
        <f>VLOOKUP(G75,'Input keuzevariabelen'!$F:$J,3,FALSE)</f>
        <v>km</v>
      </c>
      <c r="K75" s="91">
        <f>SUMIFS('Input keuzevariabelen'!$I:$I,'Input keuzevariabelen'!$F:$F,Data!G75,'Input keuzevariabelen'!$K:$K,Data!D75)</f>
        <v>195</v>
      </c>
      <c r="L75" s="91" t="str">
        <f>VLOOKUP(G75,'Input keuzevariabelen'!$F:$J,5,FALSE)</f>
        <v>gram CO2/km</v>
      </c>
      <c r="M75" s="209">
        <f t="shared" si="4"/>
        <v>162.088875</v>
      </c>
      <c r="N75" s="99" t="s">
        <v>134</v>
      </c>
      <c r="O75" s="99" t="s">
        <v>135</v>
      </c>
      <c r="P75" s="100"/>
      <c r="Q75" s="91">
        <f>SUMIFS('Input keuzevariabelen'!$P:$P,'Input keuzevariabelen'!$M:$M,Data!G75)</f>
        <v>0</v>
      </c>
      <c r="R75" s="212">
        <f t="shared" si="5"/>
        <v>0</v>
      </c>
    </row>
    <row r="76" spans="2:18" ht="17.399999999999999" thickTop="1" thickBot="1" x14ac:dyDescent="0.35">
      <c r="B76" s="124" t="s">
        <v>8</v>
      </c>
      <c r="C76" s="247">
        <f>VLOOKUP(B76,'Input keuzevariabelen'!$B:$C,2,FALSE)</f>
        <v>1</v>
      </c>
      <c r="D76" s="120">
        <v>2020</v>
      </c>
      <c r="E76" s="125" t="s">
        <v>10</v>
      </c>
      <c r="F76" s="250" t="str">
        <f>VLOOKUP(G76,'Input keuzevariabelen'!$F:$J,2,FALSE)</f>
        <v>bt</v>
      </c>
      <c r="G76" s="96" t="s">
        <v>122</v>
      </c>
      <c r="H76" s="233">
        <v>0</v>
      </c>
      <c r="I76" s="211">
        <f t="shared" si="3"/>
        <v>0</v>
      </c>
      <c r="J76" s="91" t="str">
        <f>VLOOKUP(G76,'Input keuzevariabelen'!$F:$J,3,FALSE)</f>
        <v>km</v>
      </c>
      <c r="K76" s="91">
        <f>SUMIFS('Input keuzevariabelen'!$I:$I,'Input keuzevariabelen'!$F:$F,Data!G76,'Input keuzevariabelen'!$K:$K,Data!D76)</f>
        <v>6</v>
      </c>
      <c r="L76" s="91" t="str">
        <f>VLOOKUP(G76,'Input keuzevariabelen'!$F:$J,5,FALSE)</f>
        <v>gram CO2/km</v>
      </c>
      <c r="M76" s="209">
        <f t="shared" si="4"/>
        <v>0</v>
      </c>
      <c r="N76" s="99" t="s">
        <v>134</v>
      </c>
      <c r="O76" s="99"/>
      <c r="P76" s="100"/>
      <c r="Q76" s="91">
        <f>SUMIFS('Input keuzevariabelen'!$P:$P,'Input keuzevariabelen'!$M:$M,Data!G76)</f>
        <v>0</v>
      </c>
      <c r="R76" s="212">
        <f t="shared" si="5"/>
        <v>0</v>
      </c>
    </row>
    <row r="77" spans="2:18" ht="17.399999999999999" thickTop="1" thickBot="1" x14ac:dyDescent="0.35">
      <c r="B77" s="124" t="s">
        <v>8</v>
      </c>
      <c r="C77" s="247">
        <f>VLOOKUP(B77,'Input keuzevariabelen'!$B:$C,2,FALSE)</f>
        <v>1</v>
      </c>
      <c r="D77" s="120">
        <v>2020</v>
      </c>
      <c r="E77" s="125" t="s">
        <v>10</v>
      </c>
      <c r="F77" s="250" t="str">
        <f>VLOOKUP(G77,'Input keuzevariabelen'!$F:$J,2,FALSE)</f>
        <v>bt</v>
      </c>
      <c r="G77" s="96" t="s">
        <v>34</v>
      </c>
      <c r="H77" s="233">
        <v>1960</v>
      </c>
      <c r="I77" s="211">
        <f t="shared" si="3"/>
        <v>1960</v>
      </c>
      <c r="J77" s="91" t="str">
        <f>VLOOKUP(G77,'Input keuzevariabelen'!$F:$J,3,FALSE)</f>
        <v>km</v>
      </c>
      <c r="K77" s="91">
        <f>SUMIFS('Input keuzevariabelen'!$I:$I,'Input keuzevariabelen'!$F:$F,Data!G77,'Input keuzevariabelen'!$K:$K,Data!D77)</f>
        <v>297</v>
      </c>
      <c r="L77" s="91" t="str">
        <f>VLOOKUP(G77,'Input keuzevariabelen'!$F:$J,5,FALSE)</f>
        <v>gram CO2/km</v>
      </c>
      <c r="M77" s="209">
        <f t="shared" si="4"/>
        <v>0.58211999999999997</v>
      </c>
      <c r="N77" s="101" t="s">
        <v>134</v>
      </c>
      <c r="O77" s="99" t="s">
        <v>136</v>
      </c>
      <c r="P77" s="100"/>
      <c r="Q77" s="91">
        <f>SUMIFS('Input keuzevariabelen'!$P:$P,'Input keuzevariabelen'!$M:$M,Data!G77)</f>
        <v>0</v>
      </c>
      <c r="R77" s="212">
        <f t="shared" si="5"/>
        <v>0</v>
      </c>
    </row>
    <row r="78" spans="2:18" ht="17.399999999999999" thickTop="1" thickBot="1" x14ac:dyDescent="0.35">
      <c r="B78" s="124" t="s">
        <v>8</v>
      </c>
      <c r="C78" s="247">
        <f>VLOOKUP(B78,'Input keuzevariabelen'!$B:$C,2,FALSE)</f>
        <v>1</v>
      </c>
      <c r="D78" s="120">
        <v>2020</v>
      </c>
      <c r="E78" s="125" t="s">
        <v>10</v>
      </c>
      <c r="F78" s="250" t="str">
        <f>VLOOKUP(G78,'Input keuzevariabelen'!$F:$J,2,FALSE)</f>
        <v>bt</v>
      </c>
      <c r="G78" s="96" t="s">
        <v>35</v>
      </c>
      <c r="H78" s="233">
        <v>206567</v>
      </c>
      <c r="I78" s="211">
        <f t="shared" si="3"/>
        <v>206567</v>
      </c>
      <c r="J78" s="91" t="str">
        <f>VLOOKUP(G78,'Input keuzevariabelen'!$F:$J,3,FALSE)</f>
        <v>km</v>
      </c>
      <c r="K78" s="91">
        <f>SUMIFS('Input keuzevariabelen'!$I:$I,'Input keuzevariabelen'!$F:$F,Data!G78,'Input keuzevariabelen'!$K:$K,Data!D78)</f>
        <v>200</v>
      </c>
      <c r="L78" s="91" t="str">
        <f>VLOOKUP(G78,'Input keuzevariabelen'!$F:$J,5,FALSE)</f>
        <v>gram CO2/km</v>
      </c>
      <c r="M78" s="209">
        <f t="shared" si="4"/>
        <v>41.313400000000001</v>
      </c>
      <c r="N78" s="99" t="s">
        <v>134</v>
      </c>
      <c r="O78" s="99" t="s">
        <v>137</v>
      </c>
      <c r="P78" s="100" t="s">
        <v>138</v>
      </c>
      <c r="Q78" s="91">
        <f>SUMIFS('Input keuzevariabelen'!$P:$P,'Input keuzevariabelen'!$M:$M,Data!G78)</f>
        <v>0</v>
      </c>
      <c r="R78" s="212">
        <f t="shared" si="5"/>
        <v>0</v>
      </c>
    </row>
    <row r="79" spans="2:18" ht="17.399999999999999" thickTop="1" thickBot="1" x14ac:dyDescent="0.35">
      <c r="B79" s="124" t="s">
        <v>8</v>
      </c>
      <c r="C79" s="247">
        <f>VLOOKUP(B79,'Input keuzevariabelen'!$B:$C,2,FALSE)</f>
        <v>1</v>
      </c>
      <c r="D79" s="120">
        <v>2020</v>
      </c>
      <c r="E79" s="125" t="s">
        <v>10</v>
      </c>
      <c r="F79" s="250" t="str">
        <f>VLOOKUP(G79,'Input keuzevariabelen'!$F:$J,2,FALSE)</f>
        <v>bt</v>
      </c>
      <c r="G79" s="96" t="s">
        <v>36</v>
      </c>
      <c r="H79" s="233">
        <v>58826</v>
      </c>
      <c r="I79" s="211">
        <f t="shared" si="3"/>
        <v>58826</v>
      </c>
      <c r="J79" s="91" t="str">
        <f>VLOOKUP(G79,'Input keuzevariabelen'!$F:$J,3,FALSE)</f>
        <v>km</v>
      </c>
      <c r="K79" s="91">
        <f>SUMIFS('Input keuzevariabelen'!$I:$I,'Input keuzevariabelen'!$F:$F,Data!G79,'Input keuzevariabelen'!$K:$K,Data!D79)</f>
        <v>147</v>
      </c>
      <c r="L79" s="91" t="str">
        <f>VLOOKUP(G79,'Input keuzevariabelen'!$F:$J,5,FALSE)</f>
        <v>gram CO2/km</v>
      </c>
      <c r="M79" s="209">
        <f t="shared" si="4"/>
        <v>8.6474220000000006</v>
      </c>
      <c r="N79" s="99" t="s">
        <v>134</v>
      </c>
      <c r="O79" s="99" t="s">
        <v>139</v>
      </c>
      <c r="P79" s="100"/>
      <c r="Q79" s="91">
        <f>SUMIFS('Input keuzevariabelen'!$P:$P,'Input keuzevariabelen'!$M:$M,Data!G79)</f>
        <v>0</v>
      </c>
      <c r="R79" s="212">
        <f t="shared" si="5"/>
        <v>0</v>
      </c>
    </row>
    <row r="80" spans="2:18" ht="17.399999999999999" thickTop="1" thickBot="1" x14ac:dyDescent="0.35">
      <c r="B80" s="123" t="s">
        <v>124</v>
      </c>
      <c r="C80" s="247">
        <f>VLOOKUP(B80,'Input keuzevariabelen'!$B:$C,2,FALSE)</f>
        <v>0.2</v>
      </c>
      <c r="D80" s="120">
        <v>2020</v>
      </c>
      <c r="E80" s="125" t="s">
        <v>10</v>
      </c>
      <c r="F80" s="250">
        <f>VLOOKUP(G80,'Input keuzevariabelen'!$F:$J,2,FALSE)</f>
        <v>1</v>
      </c>
      <c r="G80" s="96" t="s">
        <v>18</v>
      </c>
      <c r="H80" s="233">
        <f>322145</f>
        <v>322145</v>
      </c>
      <c r="I80" s="211">
        <f t="shared" si="3"/>
        <v>64429</v>
      </c>
      <c r="J80" s="91" t="str">
        <f>VLOOKUP(G80,'Input keuzevariabelen'!$F:$J,3,FALSE)</f>
        <v>m3</v>
      </c>
      <c r="K80" s="91">
        <f>SUMIFS('Input keuzevariabelen'!$I:$I,'Input keuzevariabelen'!$F:$F,Data!G80,'Input keuzevariabelen'!$K:$K,Data!D80)</f>
        <v>1884</v>
      </c>
      <c r="L80" s="91" t="str">
        <f>VLOOKUP(G80,'Input keuzevariabelen'!$F:$J,5,FALSE)</f>
        <v>gram CO2/m3</v>
      </c>
      <c r="M80" s="209">
        <f t="shared" si="4"/>
        <v>121.384236</v>
      </c>
      <c r="N80" s="99" t="s">
        <v>140</v>
      </c>
      <c r="O80" s="101"/>
      <c r="P80" s="102" t="s">
        <v>126</v>
      </c>
      <c r="Q80" s="91">
        <f>SUMIFS('Input keuzevariabelen'!$P:$P,'Input keuzevariabelen'!$M:$M,Data!G80)</f>
        <v>3.1649999999999998E-2</v>
      </c>
      <c r="R80" s="212">
        <f t="shared" si="5"/>
        <v>2039.1778499999998</v>
      </c>
    </row>
    <row r="81" spans="2:18" ht="17.399999999999999" thickTop="1" thickBot="1" x14ac:dyDescent="0.35">
      <c r="B81" s="123" t="s">
        <v>124</v>
      </c>
      <c r="C81" s="247">
        <f>VLOOKUP(B81,'Input keuzevariabelen'!$B:$C,2,FALSE)</f>
        <v>0.2</v>
      </c>
      <c r="D81" s="120">
        <v>2020</v>
      </c>
      <c r="E81" s="125" t="s">
        <v>10</v>
      </c>
      <c r="F81" s="250">
        <f>VLOOKUP(G81,'Input keuzevariabelen'!$F:$J,2,FALSE)</f>
        <v>2</v>
      </c>
      <c r="G81" s="96" t="s">
        <v>27</v>
      </c>
      <c r="H81" s="233">
        <f>18877000</f>
        <v>18877000</v>
      </c>
      <c r="I81" s="211">
        <f t="shared" si="3"/>
        <v>3775400</v>
      </c>
      <c r="J81" s="91" t="str">
        <f>VLOOKUP(G81,'Input keuzevariabelen'!$F:$J,3,FALSE)</f>
        <v>kWh</v>
      </c>
      <c r="K81" s="91">
        <f>SUMIFS('Input keuzevariabelen'!$I:$I,'Input keuzevariabelen'!$F:$F,Data!G81,'Input keuzevariabelen'!$K:$K,Data!D81)</f>
        <v>0</v>
      </c>
      <c r="L81" s="91" t="str">
        <f>VLOOKUP(G81,'Input keuzevariabelen'!$F:$J,5,FALSE)</f>
        <v>gram CO2/kWh</v>
      </c>
      <c r="M81" s="209">
        <f t="shared" si="4"/>
        <v>0</v>
      </c>
      <c r="N81" s="99" t="s">
        <v>140</v>
      </c>
      <c r="O81" s="99"/>
      <c r="P81" s="100" t="s">
        <v>126</v>
      </c>
      <c r="Q81" s="91">
        <f>SUMIFS('Input keuzevariabelen'!$P:$P,'Input keuzevariabelen'!$M:$M,Data!G81)</f>
        <v>5.2199999999999998E-3</v>
      </c>
      <c r="R81" s="212">
        <f t="shared" si="5"/>
        <v>19707.588</v>
      </c>
    </row>
    <row r="82" spans="2:18" ht="17.399999999999999" thickTop="1" thickBot="1" x14ac:dyDescent="0.35">
      <c r="B82" s="123" t="s">
        <v>124</v>
      </c>
      <c r="C82" s="247">
        <f>VLOOKUP(B82,'Input keuzevariabelen'!$B:$C,2,FALSE)</f>
        <v>0.2</v>
      </c>
      <c r="D82" s="120">
        <v>2020</v>
      </c>
      <c r="E82" s="125" t="s">
        <v>10</v>
      </c>
      <c r="F82" s="250">
        <f>VLOOKUP(G82,'Input keuzevariabelen'!$F:$J,2,FALSE)</f>
        <v>2</v>
      </c>
      <c r="G82" s="96" t="s">
        <v>27</v>
      </c>
      <c r="H82" s="233">
        <f>4836000</f>
        <v>4836000</v>
      </c>
      <c r="I82" s="211">
        <f t="shared" si="3"/>
        <v>967200</v>
      </c>
      <c r="J82" s="91" t="str">
        <f>VLOOKUP(G82,'Input keuzevariabelen'!$F:$J,3,FALSE)</f>
        <v>kWh</v>
      </c>
      <c r="K82" s="91">
        <f>SUMIFS('Input keuzevariabelen'!$I:$I,'Input keuzevariabelen'!$F:$F,Data!G82,'Input keuzevariabelen'!$K:$K,Data!D82)</f>
        <v>0</v>
      </c>
      <c r="L82" s="91" t="str">
        <f>VLOOKUP(G82,'Input keuzevariabelen'!$F:$J,5,FALSE)</f>
        <v>gram CO2/kWh</v>
      </c>
      <c r="M82" s="209">
        <f t="shared" si="4"/>
        <v>0</v>
      </c>
      <c r="N82" s="99" t="s">
        <v>140</v>
      </c>
      <c r="O82" s="99"/>
      <c r="P82" s="100" t="s">
        <v>126</v>
      </c>
      <c r="Q82" s="91">
        <f>SUMIFS('Input keuzevariabelen'!$P:$P,'Input keuzevariabelen'!$M:$M,Data!G82)</f>
        <v>5.2199999999999998E-3</v>
      </c>
      <c r="R82" s="212">
        <f t="shared" si="5"/>
        <v>5048.7839999999997</v>
      </c>
    </row>
    <row r="83" spans="2:18" ht="17.399999999999999" thickTop="1" thickBot="1" x14ac:dyDescent="0.35">
      <c r="B83" s="124" t="s">
        <v>127</v>
      </c>
      <c r="C83" s="247">
        <f>VLOOKUP(B83,'Input keuzevariabelen'!$B:$C,2,FALSE)</f>
        <v>0.28599999999999998</v>
      </c>
      <c r="D83" s="120">
        <v>2020</v>
      </c>
      <c r="E83" s="125" t="s">
        <v>10</v>
      </c>
      <c r="F83" s="250">
        <f>VLOOKUP(G83,'Input keuzevariabelen'!$F:$J,2,FALSE)</f>
        <v>1</v>
      </c>
      <c r="G83" s="96" t="s">
        <v>18</v>
      </c>
      <c r="H83" s="233">
        <f>13333</f>
        <v>13333</v>
      </c>
      <c r="I83" s="211">
        <f t="shared" si="3"/>
        <v>3813.2379999999998</v>
      </c>
      <c r="J83" s="91" t="str">
        <f>VLOOKUP(G83,'Input keuzevariabelen'!$F:$J,3,FALSE)</f>
        <v>m3</v>
      </c>
      <c r="K83" s="91">
        <f>SUMIFS('Input keuzevariabelen'!$I:$I,'Input keuzevariabelen'!$F:$F,Data!G83,'Input keuzevariabelen'!$K:$K,Data!D83)</f>
        <v>1884</v>
      </c>
      <c r="L83" s="91" t="str">
        <f>VLOOKUP(G83,'Input keuzevariabelen'!$F:$J,5,FALSE)</f>
        <v>gram CO2/m3</v>
      </c>
      <c r="M83" s="209">
        <f t="shared" si="4"/>
        <v>7.1841403919999998</v>
      </c>
      <c r="N83" s="99" t="s">
        <v>128</v>
      </c>
      <c r="O83" s="99"/>
      <c r="P83" s="100" t="s">
        <v>127</v>
      </c>
      <c r="Q83" s="91">
        <f>SUMIFS('Input keuzevariabelen'!$P:$P,'Input keuzevariabelen'!$M:$M,Data!G83)</f>
        <v>3.1649999999999998E-2</v>
      </c>
      <c r="R83" s="212">
        <f t="shared" si="5"/>
        <v>120.68898269999998</v>
      </c>
    </row>
    <row r="84" spans="2:18" ht="17.399999999999999" thickTop="1" thickBot="1" x14ac:dyDescent="0.35">
      <c r="B84" s="124" t="s">
        <v>127</v>
      </c>
      <c r="C84" s="247">
        <f>VLOOKUP(B84,'Input keuzevariabelen'!$B:$C,2,FALSE)</f>
        <v>0.28599999999999998</v>
      </c>
      <c r="D84" s="120">
        <v>2020</v>
      </c>
      <c r="E84" s="125" t="s">
        <v>10</v>
      </c>
      <c r="F84" s="250">
        <f>VLOOKUP(G84,'Input keuzevariabelen'!$F:$J,2,FALSE)</f>
        <v>2</v>
      </c>
      <c r="G84" s="96" t="s">
        <v>25</v>
      </c>
      <c r="H84" s="233">
        <f>295604</f>
        <v>295604</v>
      </c>
      <c r="I84" s="211">
        <f t="shared" si="3"/>
        <v>84542.743999999992</v>
      </c>
      <c r="J84" s="91" t="str">
        <f>VLOOKUP(G84,'Input keuzevariabelen'!$F:$J,3,FALSE)</f>
        <v>kWh</v>
      </c>
      <c r="K84" s="91">
        <f>SUMIFS('Input keuzevariabelen'!$I:$I,'Input keuzevariabelen'!$F:$F,Data!G84,'Input keuzevariabelen'!$K:$K,Data!D84)</f>
        <v>556</v>
      </c>
      <c r="L84" s="91" t="str">
        <f>VLOOKUP(G84,'Input keuzevariabelen'!$F:$J,5,FALSE)</f>
        <v>gram CO2/kWh</v>
      </c>
      <c r="M84" s="209">
        <f t="shared" si="4"/>
        <v>47.005765663999995</v>
      </c>
      <c r="N84" s="99" t="s">
        <v>128</v>
      </c>
      <c r="O84" s="99"/>
      <c r="P84" s="100" t="s">
        <v>127</v>
      </c>
      <c r="Q84" s="91">
        <f>SUMIFS('Input keuzevariabelen'!$P:$P,'Input keuzevariabelen'!$M:$M,Data!G84)</f>
        <v>5.2199999999999998E-3</v>
      </c>
      <c r="R84" s="212">
        <f t="shared" si="5"/>
        <v>441.31312367999993</v>
      </c>
    </row>
    <row r="85" spans="2:18" ht="17.399999999999999" thickTop="1" thickBot="1" x14ac:dyDescent="0.35">
      <c r="B85" s="124" t="s">
        <v>53</v>
      </c>
      <c r="C85" s="247">
        <f>VLOOKUP(B85,'Input keuzevariabelen'!$B:$C,2,FALSE)</f>
        <v>0.111</v>
      </c>
      <c r="D85" s="120">
        <v>2020</v>
      </c>
      <c r="E85" s="125" t="s">
        <v>10</v>
      </c>
      <c r="F85" s="250">
        <f>VLOOKUP(G85,'Input keuzevariabelen'!$F:$J,2,FALSE)</f>
        <v>1</v>
      </c>
      <c r="G85" s="96" t="s">
        <v>18</v>
      </c>
      <c r="H85" s="233">
        <f>142688</f>
        <v>142688</v>
      </c>
      <c r="I85" s="211">
        <f t="shared" si="3"/>
        <v>15838.368</v>
      </c>
      <c r="J85" s="91" t="str">
        <f>VLOOKUP(G85,'Input keuzevariabelen'!$F:$J,3,FALSE)</f>
        <v>m3</v>
      </c>
      <c r="K85" s="91">
        <f>SUMIFS('Input keuzevariabelen'!$I:$I,'Input keuzevariabelen'!$F:$F,Data!G85,'Input keuzevariabelen'!$K:$K,Data!D85)</f>
        <v>1884</v>
      </c>
      <c r="L85" s="91" t="str">
        <f>VLOOKUP(G85,'Input keuzevariabelen'!$F:$J,5,FALSE)</f>
        <v>gram CO2/m3</v>
      </c>
      <c r="M85" s="209">
        <f t="shared" si="4"/>
        <v>29.839485312000001</v>
      </c>
      <c r="N85" s="99" t="s">
        <v>129</v>
      </c>
      <c r="O85" s="99"/>
      <c r="P85" s="100" t="s">
        <v>53</v>
      </c>
      <c r="Q85" s="91">
        <f>SUMIFS('Input keuzevariabelen'!$P:$P,'Input keuzevariabelen'!$M:$M,Data!G85)</f>
        <v>3.1649999999999998E-2</v>
      </c>
      <c r="R85" s="212">
        <f t="shared" si="5"/>
        <v>501.28434719999996</v>
      </c>
    </row>
    <row r="86" spans="2:18" ht="17.399999999999999" thickTop="1" thickBot="1" x14ac:dyDescent="0.35">
      <c r="B86" s="124" t="s">
        <v>53</v>
      </c>
      <c r="C86" s="247">
        <f>VLOOKUP(B86,'Input keuzevariabelen'!$B:$C,2,FALSE)</f>
        <v>0.111</v>
      </c>
      <c r="D86" s="120">
        <v>2020</v>
      </c>
      <c r="E86" s="125" t="s">
        <v>10</v>
      </c>
      <c r="F86" s="250">
        <f>VLOOKUP(G86,'Input keuzevariabelen'!$F:$J,2,FALSE)</f>
        <v>2</v>
      </c>
      <c r="G86" s="96" t="s">
        <v>27</v>
      </c>
      <c r="H86" s="233">
        <f>1271061</f>
        <v>1271061</v>
      </c>
      <c r="I86" s="211">
        <f t="shared" si="3"/>
        <v>141087.77100000001</v>
      </c>
      <c r="J86" s="91" t="str">
        <f>VLOOKUP(G86,'Input keuzevariabelen'!$F:$J,3,FALSE)</f>
        <v>kWh</v>
      </c>
      <c r="K86" s="91">
        <f>SUMIFS('Input keuzevariabelen'!$I:$I,'Input keuzevariabelen'!$F:$F,Data!G86,'Input keuzevariabelen'!$K:$K,Data!D86)</f>
        <v>0</v>
      </c>
      <c r="L86" s="91" t="str">
        <f>VLOOKUP(G86,'Input keuzevariabelen'!$F:$J,5,FALSE)</f>
        <v>gram CO2/kWh</v>
      </c>
      <c r="M86" s="209">
        <f t="shared" si="4"/>
        <v>0</v>
      </c>
      <c r="N86" s="99" t="s">
        <v>129</v>
      </c>
      <c r="O86" s="99"/>
      <c r="P86" s="100" t="s">
        <v>53</v>
      </c>
      <c r="Q86" s="91">
        <f>SUMIFS('Input keuzevariabelen'!$P:$P,'Input keuzevariabelen'!$M:$M,Data!G86)</f>
        <v>5.2199999999999998E-3</v>
      </c>
      <c r="R86" s="212">
        <f t="shared" si="5"/>
        <v>736.47816462000003</v>
      </c>
    </row>
    <row r="87" spans="2:18" ht="17.399999999999999" thickTop="1" thickBot="1" x14ac:dyDescent="0.35">
      <c r="B87" s="124" t="s">
        <v>53</v>
      </c>
      <c r="C87" s="247">
        <f>VLOOKUP(B87,'Input keuzevariabelen'!$B:$C,2,FALSE)</f>
        <v>0.111</v>
      </c>
      <c r="D87" s="120">
        <v>2020</v>
      </c>
      <c r="E87" s="125" t="s">
        <v>10</v>
      </c>
      <c r="F87" s="250">
        <f>VLOOKUP(G87,'Input keuzevariabelen'!$F:$J,2,FALSE)</f>
        <v>2</v>
      </c>
      <c r="G87" s="96" t="s">
        <v>28</v>
      </c>
      <c r="H87" s="233">
        <f>1987</f>
        <v>1987</v>
      </c>
      <c r="I87" s="211">
        <f t="shared" si="3"/>
        <v>220.55700000000002</v>
      </c>
      <c r="J87" s="91" t="str">
        <f>VLOOKUP(G87,'Input keuzevariabelen'!$F:$J,3,FALSE)</f>
        <v>kWh</v>
      </c>
      <c r="K87" s="91">
        <f>SUMIFS('Input keuzevariabelen'!$I:$I,'Input keuzevariabelen'!$F:$F,Data!G87,'Input keuzevariabelen'!$K:$K,Data!D87)</f>
        <v>556</v>
      </c>
      <c r="L87" s="91" t="str">
        <f>VLOOKUP(G87,'Input keuzevariabelen'!$F:$J,5,FALSE)</f>
        <v>gram CO2/kWh</v>
      </c>
      <c r="M87" s="209">
        <f t="shared" si="4"/>
        <v>0.12262969200000001</v>
      </c>
      <c r="N87" s="99" t="s">
        <v>129</v>
      </c>
      <c r="O87" s="99"/>
      <c r="P87" s="100" t="s">
        <v>53</v>
      </c>
      <c r="Q87" s="91">
        <f>SUMIFS('Input keuzevariabelen'!$P:$P,'Input keuzevariabelen'!$M:$M,Data!G87)</f>
        <v>5.2199999999999998E-3</v>
      </c>
      <c r="R87" s="212">
        <f t="shared" si="5"/>
        <v>1.1513075400000001</v>
      </c>
    </row>
    <row r="88" spans="2:18" ht="17.399999999999999" thickTop="1" thickBot="1" x14ac:dyDescent="0.35">
      <c r="B88" s="124" t="s">
        <v>53</v>
      </c>
      <c r="C88" s="247">
        <f>VLOOKUP(B88,'Input keuzevariabelen'!$B:$C,2,FALSE)</f>
        <v>0.111</v>
      </c>
      <c r="D88" s="120">
        <v>2020</v>
      </c>
      <c r="E88" s="125" t="s">
        <v>10</v>
      </c>
      <c r="F88" s="250">
        <f>VLOOKUP(G88,'Input keuzevariabelen'!$F:$J,2,FALSE)</f>
        <v>1</v>
      </c>
      <c r="G88" s="96" t="s">
        <v>20</v>
      </c>
      <c r="H88" s="233">
        <f>86578</f>
        <v>86578</v>
      </c>
      <c r="I88" s="211">
        <f t="shared" si="3"/>
        <v>9610.1579999999994</v>
      </c>
      <c r="J88" s="91" t="str">
        <f>VLOOKUP(G88,'Input keuzevariabelen'!$F:$J,3,FALSE)</f>
        <v>liter</v>
      </c>
      <c r="K88" s="91">
        <f>SUMIFS('Input keuzevariabelen'!$I:$I,'Input keuzevariabelen'!$F:$F,Data!G88,'Input keuzevariabelen'!$K:$K,Data!D88)</f>
        <v>3262</v>
      </c>
      <c r="L88" s="91" t="str">
        <f>VLOOKUP(G88,'Input keuzevariabelen'!$F:$J,5,FALSE)</f>
        <v>gram CO2/liter</v>
      </c>
      <c r="M88" s="209">
        <f t="shared" si="4"/>
        <v>31.348335396</v>
      </c>
      <c r="N88" s="99" t="s">
        <v>130</v>
      </c>
      <c r="O88" s="99"/>
      <c r="P88" s="100" t="s">
        <v>53</v>
      </c>
      <c r="Q88" s="91">
        <f>SUMIFS('Input keuzevariabelen'!$P:$P,'Input keuzevariabelen'!$M:$M,Data!G88)</f>
        <v>3.6299999999999999E-2</v>
      </c>
      <c r="R88" s="212">
        <f t="shared" si="5"/>
        <v>348.84873539999995</v>
      </c>
    </row>
    <row r="89" spans="2:18" ht="17.399999999999999" thickTop="1" thickBot="1" x14ac:dyDescent="0.35">
      <c r="B89" s="124" t="s">
        <v>53</v>
      </c>
      <c r="C89" s="247">
        <f>VLOOKUP(B89,'Input keuzevariabelen'!$B:$C,2,FALSE)</f>
        <v>0.111</v>
      </c>
      <c r="D89" s="120">
        <v>2020</v>
      </c>
      <c r="E89" s="125" t="s">
        <v>10</v>
      </c>
      <c r="F89" s="250">
        <f>VLOOKUP(G89,'Input keuzevariabelen'!$F:$J,2,FALSE)</f>
        <v>1</v>
      </c>
      <c r="G89" s="96" t="s">
        <v>22</v>
      </c>
      <c r="H89" s="233">
        <f>2018</f>
        <v>2018</v>
      </c>
      <c r="I89" s="211">
        <f t="shared" si="3"/>
        <v>223.99799999999999</v>
      </c>
      <c r="J89" s="91" t="str">
        <f>VLOOKUP(G89,'Input keuzevariabelen'!$F:$J,3,FALSE)</f>
        <v>liter</v>
      </c>
      <c r="K89" s="91">
        <f>SUMIFS('Input keuzevariabelen'!$I:$I,'Input keuzevariabelen'!$F:$F,Data!G89,'Input keuzevariabelen'!$K:$K,Data!D89)</f>
        <v>2784</v>
      </c>
      <c r="L89" s="91" t="str">
        <f>VLOOKUP(G89,'Input keuzevariabelen'!$F:$J,5,FALSE)</f>
        <v>gram CO2/liter</v>
      </c>
      <c r="M89" s="209">
        <f t="shared" si="4"/>
        <v>0.62361043199999999</v>
      </c>
      <c r="N89" s="99" t="s">
        <v>130</v>
      </c>
      <c r="O89" s="99"/>
      <c r="P89" s="100" t="s">
        <v>53</v>
      </c>
      <c r="Q89" s="91">
        <f>SUMIFS('Input keuzevariabelen'!$P:$P,'Input keuzevariabelen'!$M:$M,Data!G89)</f>
        <v>3.1E-2</v>
      </c>
      <c r="R89" s="212">
        <f t="shared" si="5"/>
        <v>6.9439379999999993</v>
      </c>
    </row>
    <row r="90" spans="2:18" ht="17.399999999999999" thickTop="1" thickBot="1" x14ac:dyDescent="0.35">
      <c r="B90" s="124" t="s">
        <v>53</v>
      </c>
      <c r="C90" s="247">
        <f>VLOOKUP(B90,'Input keuzevariabelen'!$B:$C,2,FALSE)</f>
        <v>0.111</v>
      </c>
      <c r="D90" s="120">
        <v>2020</v>
      </c>
      <c r="E90" s="125" t="s">
        <v>10</v>
      </c>
      <c r="F90" s="250" t="str">
        <f>VLOOKUP(G90,'Input keuzevariabelen'!$F:$J,2,FALSE)</f>
        <v>bt</v>
      </c>
      <c r="G90" s="96" t="s">
        <v>31</v>
      </c>
      <c r="H90" s="233">
        <f>(31666/0.19)</f>
        <v>166663.15789473685</v>
      </c>
      <c r="I90" s="211">
        <f t="shared" si="3"/>
        <v>18499.610526315792</v>
      </c>
      <c r="J90" s="91" t="str">
        <f>VLOOKUP(G90,'Input keuzevariabelen'!$F:$J,3,FALSE)</f>
        <v>km</v>
      </c>
      <c r="K90" s="91">
        <f>SUMIFS('Input keuzevariabelen'!$I:$I,'Input keuzevariabelen'!$F:$F,Data!G90,'Input keuzevariabelen'!$K:$K,Data!D90)</f>
        <v>195</v>
      </c>
      <c r="L90" s="91" t="str">
        <f>VLOOKUP(G90,'Input keuzevariabelen'!$F:$J,5,FALSE)</f>
        <v>gram CO2/km</v>
      </c>
      <c r="M90" s="209">
        <f t="shared" si="4"/>
        <v>3.6074240526315795</v>
      </c>
      <c r="N90" s="99" t="s">
        <v>129</v>
      </c>
      <c r="O90" s="99"/>
      <c r="P90" s="100" t="s">
        <v>53</v>
      </c>
      <c r="Q90" s="91">
        <f>SUMIFS('Input keuzevariabelen'!$P:$P,'Input keuzevariabelen'!$M:$M,Data!G90)</f>
        <v>0</v>
      </c>
      <c r="R90" s="212">
        <f t="shared" si="5"/>
        <v>0</v>
      </c>
    </row>
    <row r="91" spans="2:18" ht="17.399999999999999" thickTop="1" thickBot="1" x14ac:dyDescent="0.35">
      <c r="B91" s="124" t="s">
        <v>53</v>
      </c>
      <c r="C91" s="247">
        <f>VLOOKUP(B91,'Input keuzevariabelen'!$B:$C,2,FALSE)</f>
        <v>0.111</v>
      </c>
      <c r="D91" s="120">
        <v>2020</v>
      </c>
      <c r="E91" s="125" t="s">
        <v>10</v>
      </c>
      <c r="F91" s="250" t="str">
        <f>VLOOKUP(G91,'Input keuzevariabelen'!$F:$J,2,FALSE)</f>
        <v>bt</v>
      </c>
      <c r="G91" s="96" t="s">
        <v>33</v>
      </c>
      <c r="H91" s="233">
        <f>(520/0.15)</f>
        <v>3466.666666666667</v>
      </c>
      <c r="I91" s="211">
        <f t="shared" si="3"/>
        <v>384.8</v>
      </c>
      <c r="J91" s="91" t="str">
        <f>VLOOKUP(G91,'Input keuzevariabelen'!$F:$J,3,FALSE)</f>
        <v>km</v>
      </c>
      <c r="K91" s="91">
        <f>SUMIFS('Input keuzevariabelen'!$I:$I,'Input keuzevariabelen'!$F:$F,Data!G91,'Input keuzevariabelen'!$K:$K,Data!D91)</f>
        <v>36</v>
      </c>
      <c r="L91" s="91" t="str">
        <f>VLOOKUP(G91,'Input keuzevariabelen'!$F:$J,5,FALSE)</f>
        <v>gram CO2/km</v>
      </c>
      <c r="M91" s="209">
        <f t="shared" si="4"/>
        <v>1.3852800000000002E-2</v>
      </c>
      <c r="N91" s="99" t="s">
        <v>129</v>
      </c>
      <c r="O91" s="99"/>
      <c r="P91" s="100" t="s">
        <v>53</v>
      </c>
      <c r="Q91" s="91">
        <f>SUMIFS('Input keuzevariabelen'!$P:$P,'Input keuzevariabelen'!$M:$M,Data!G91)</f>
        <v>0</v>
      </c>
      <c r="R91" s="212">
        <f t="shared" si="5"/>
        <v>0</v>
      </c>
    </row>
    <row r="92" spans="2:18" ht="17.399999999999999" thickTop="1" thickBot="1" x14ac:dyDescent="0.35">
      <c r="B92" s="124" t="s">
        <v>8</v>
      </c>
      <c r="C92" s="247">
        <f>VLOOKUP(B92,'Input keuzevariabelen'!$B:$C,2,FALSE)</f>
        <v>1</v>
      </c>
      <c r="D92" s="120">
        <v>2021</v>
      </c>
      <c r="E92" s="125" t="s">
        <v>10</v>
      </c>
      <c r="F92" s="250" t="str">
        <f>VLOOKUP(G92,'Input keuzevariabelen'!$F:$J,2,FALSE)</f>
        <v>KPI</v>
      </c>
      <c r="G92" s="96" t="s">
        <v>99</v>
      </c>
      <c r="H92" s="233">
        <f>150456430/1000</f>
        <v>150456.43</v>
      </c>
      <c r="I92" s="211">
        <f t="shared" si="3"/>
        <v>150456.43</v>
      </c>
      <c r="J92" s="91">
        <f>VLOOKUP(G92,'Input keuzevariabelen'!$F:$J,3,FALSE)</f>
        <v>0</v>
      </c>
      <c r="K92" s="91">
        <f>SUMIFS('Input keuzevariabelen'!$I:$I,'Input keuzevariabelen'!$F:$F,Data!G92,'Input keuzevariabelen'!$K:$K,Data!D92)</f>
        <v>0</v>
      </c>
      <c r="L92" s="91">
        <f>VLOOKUP(G92,'Input keuzevariabelen'!$F:$J,5,FALSE)</f>
        <v>0</v>
      </c>
      <c r="M92" s="209">
        <f t="shared" si="4"/>
        <v>0</v>
      </c>
      <c r="N92" s="99" t="s">
        <v>100</v>
      </c>
      <c r="O92" s="99"/>
      <c r="P92" s="93"/>
      <c r="Q92" s="91">
        <f>SUMIFS('Input keuzevariabelen'!$P:$P,'Input keuzevariabelen'!$M:$M,Data!G92)</f>
        <v>0</v>
      </c>
      <c r="R92" s="212">
        <f t="shared" si="5"/>
        <v>0</v>
      </c>
    </row>
    <row r="93" spans="2:18" ht="17.399999999999999" thickTop="1" thickBot="1" x14ac:dyDescent="0.35">
      <c r="B93" s="124" t="s">
        <v>8</v>
      </c>
      <c r="C93" s="247">
        <f>VLOOKUP(B93,'Input keuzevariabelen'!$B:$C,2,FALSE)</f>
        <v>1</v>
      </c>
      <c r="D93" s="120">
        <v>2021</v>
      </c>
      <c r="E93" s="125" t="s">
        <v>10</v>
      </c>
      <c r="F93" s="250">
        <f>VLOOKUP(G93,'Input keuzevariabelen'!$F:$J,2,FALSE)</f>
        <v>2</v>
      </c>
      <c r="G93" s="96" t="s">
        <v>27</v>
      </c>
      <c r="H93" s="233">
        <v>5441254</v>
      </c>
      <c r="I93" s="211">
        <f t="shared" si="3"/>
        <v>5441254</v>
      </c>
      <c r="J93" s="91" t="str">
        <f>VLOOKUP(G93,'Input keuzevariabelen'!$F:$J,3,FALSE)</f>
        <v>kWh</v>
      </c>
      <c r="K93" s="91">
        <f>SUMIFS('Input keuzevariabelen'!$I:$I,'Input keuzevariabelen'!$F:$F,Data!G93,'Input keuzevariabelen'!$K:$K,Data!D93)</f>
        <v>0</v>
      </c>
      <c r="L93" s="91" t="str">
        <f>VLOOKUP(G93,'Input keuzevariabelen'!$F:$J,5,FALSE)</f>
        <v>gram CO2/kWh</v>
      </c>
      <c r="M93" s="209">
        <f t="shared" si="4"/>
        <v>0</v>
      </c>
      <c r="N93" s="99" t="s">
        <v>141</v>
      </c>
      <c r="O93" s="99" t="s">
        <v>142</v>
      </c>
      <c r="P93" s="93" t="s">
        <v>103</v>
      </c>
      <c r="Q93" s="91">
        <f>SUMIFS('Input keuzevariabelen'!$P:$P,'Input keuzevariabelen'!$M:$M,Data!G93)</f>
        <v>5.2199999999999998E-3</v>
      </c>
      <c r="R93" s="212">
        <f t="shared" si="5"/>
        <v>28403.345880000001</v>
      </c>
    </row>
    <row r="94" spans="2:18" ht="17.399999999999999" thickTop="1" thickBot="1" x14ac:dyDescent="0.35">
      <c r="B94" s="124" t="s">
        <v>8</v>
      </c>
      <c r="C94" s="247">
        <f>VLOOKUP(B94,'Input keuzevariabelen'!$B:$C,2,FALSE)</f>
        <v>1</v>
      </c>
      <c r="D94" s="120">
        <v>2021</v>
      </c>
      <c r="E94" s="125" t="s">
        <v>10</v>
      </c>
      <c r="F94" s="250">
        <f>VLOOKUP(G94,'Input keuzevariabelen'!$F:$J,2,FALSE)</f>
        <v>2</v>
      </c>
      <c r="G94" s="96" t="s">
        <v>27</v>
      </c>
      <c r="H94" s="233">
        <v>444195</v>
      </c>
      <c r="I94" s="211">
        <f t="shared" si="3"/>
        <v>444195</v>
      </c>
      <c r="J94" s="91" t="str">
        <f>VLOOKUP(G94,'Input keuzevariabelen'!$F:$J,3,FALSE)</f>
        <v>kWh</v>
      </c>
      <c r="K94" s="91">
        <f>SUMIFS('Input keuzevariabelen'!$I:$I,'Input keuzevariabelen'!$F:$F,Data!G94,'Input keuzevariabelen'!$K:$K,Data!D94)</f>
        <v>0</v>
      </c>
      <c r="L94" s="91" t="str">
        <f>VLOOKUP(G94,'Input keuzevariabelen'!$F:$J,5,FALSE)</f>
        <v>gram CO2/kWh</v>
      </c>
      <c r="M94" s="209">
        <f t="shared" si="4"/>
        <v>0</v>
      </c>
      <c r="N94" s="99" t="s">
        <v>141</v>
      </c>
      <c r="O94" s="99" t="s">
        <v>142</v>
      </c>
      <c r="P94" s="93" t="s">
        <v>104</v>
      </c>
      <c r="Q94" s="91">
        <f>SUMIFS('Input keuzevariabelen'!$P:$P,'Input keuzevariabelen'!$M:$M,Data!G94)</f>
        <v>5.2199999999999998E-3</v>
      </c>
      <c r="R94" s="212">
        <f t="shared" si="5"/>
        <v>2318.6979000000001</v>
      </c>
    </row>
    <row r="95" spans="2:18" ht="17.399999999999999" thickTop="1" thickBot="1" x14ac:dyDescent="0.35">
      <c r="B95" s="124" t="s">
        <v>8</v>
      </c>
      <c r="C95" s="247">
        <f>VLOOKUP(B95,'Input keuzevariabelen'!$B:$C,2,FALSE)</f>
        <v>1</v>
      </c>
      <c r="D95" s="120">
        <v>2021</v>
      </c>
      <c r="E95" s="125" t="s">
        <v>10</v>
      </c>
      <c r="F95" s="250">
        <f>VLOOKUP(G95,'Input keuzevariabelen'!$F:$J,2,FALSE)</f>
        <v>2</v>
      </c>
      <c r="G95" s="96" t="s">
        <v>27</v>
      </c>
      <c r="H95" s="233">
        <v>2245773</v>
      </c>
      <c r="I95" s="211">
        <f t="shared" si="3"/>
        <v>2245773</v>
      </c>
      <c r="J95" s="91" t="str">
        <f>VLOOKUP(G95,'Input keuzevariabelen'!$F:$J,3,FALSE)</f>
        <v>kWh</v>
      </c>
      <c r="K95" s="91">
        <f>SUMIFS('Input keuzevariabelen'!$I:$I,'Input keuzevariabelen'!$F:$F,Data!G95,'Input keuzevariabelen'!$K:$K,Data!D95)</f>
        <v>0</v>
      </c>
      <c r="L95" s="91" t="str">
        <f>VLOOKUP(G95,'Input keuzevariabelen'!$F:$J,5,FALSE)</f>
        <v>gram CO2/kWh</v>
      </c>
      <c r="M95" s="209">
        <f t="shared" si="4"/>
        <v>0</v>
      </c>
      <c r="N95" s="99" t="s">
        <v>141</v>
      </c>
      <c r="O95" s="99" t="s">
        <v>142</v>
      </c>
      <c r="P95" s="93" t="s">
        <v>105</v>
      </c>
      <c r="Q95" s="91">
        <f>SUMIFS('Input keuzevariabelen'!$P:$P,'Input keuzevariabelen'!$M:$M,Data!G95)</f>
        <v>5.2199999999999998E-3</v>
      </c>
      <c r="R95" s="212">
        <f t="shared" si="5"/>
        <v>11722.93506</v>
      </c>
    </row>
    <row r="96" spans="2:18" ht="17.399999999999999" thickTop="1" thickBot="1" x14ac:dyDescent="0.35">
      <c r="B96" s="124" t="s">
        <v>8</v>
      </c>
      <c r="C96" s="247">
        <f>VLOOKUP(B96,'Input keuzevariabelen'!$B:$C,2,FALSE)</f>
        <v>1</v>
      </c>
      <c r="D96" s="120">
        <v>2021</v>
      </c>
      <c r="E96" s="125" t="s">
        <v>10</v>
      </c>
      <c r="F96" s="250">
        <f>VLOOKUP(G96,'Input keuzevariabelen'!$F:$J,2,FALSE)</f>
        <v>2</v>
      </c>
      <c r="G96" s="96" t="s">
        <v>27</v>
      </c>
      <c r="H96" s="234">
        <v>15271504</v>
      </c>
      <c r="I96" s="211">
        <f t="shared" si="3"/>
        <v>15271504</v>
      </c>
      <c r="J96" s="91" t="str">
        <f>VLOOKUP(G96,'Input keuzevariabelen'!$F:$J,3,FALSE)</f>
        <v>kWh</v>
      </c>
      <c r="K96" s="91">
        <f>SUMIFS('Input keuzevariabelen'!$I:$I,'Input keuzevariabelen'!$F:$F,Data!G96,'Input keuzevariabelen'!$K:$K,Data!D96)</f>
        <v>0</v>
      </c>
      <c r="L96" s="91" t="str">
        <f>VLOOKUP(G96,'Input keuzevariabelen'!$F:$J,5,FALSE)</f>
        <v>gram CO2/kWh</v>
      </c>
      <c r="M96" s="209">
        <f t="shared" si="4"/>
        <v>0</v>
      </c>
      <c r="N96" s="99" t="s">
        <v>141</v>
      </c>
      <c r="O96" s="99" t="s">
        <v>142</v>
      </c>
      <c r="P96" s="96" t="s">
        <v>107</v>
      </c>
      <c r="Q96" s="91">
        <f>SUMIFS('Input keuzevariabelen'!$P:$P,'Input keuzevariabelen'!$M:$M,Data!G96)</f>
        <v>5.2199999999999998E-3</v>
      </c>
      <c r="R96" s="212">
        <f t="shared" si="5"/>
        <v>79717.250879999992</v>
      </c>
    </row>
    <row r="97" spans="2:18" ht="17.399999999999999" thickTop="1" thickBot="1" x14ac:dyDescent="0.35">
      <c r="B97" s="124" t="s">
        <v>8</v>
      </c>
      <c r="C97" s="247">
        <f>VLOOKUP(B97,'Input keuzevariabelen'!$B:$C,2,FALSE)</f>
        <v>1</v>
      </c>
      <c r="D97" s="120">
        <v>2021</v>
      </c>
      <c r="E97" s="125" t="s">
        <v>10</v>
      </c>
      <c r="F97" s="250">
        <f>VLOOKUP(G97,'Input keuzevariabelen'!$F:$J,2,FALSE)</f>
        <v>2</v>
      </c>
      <c r="G97" s="96" t="s">
        <v>27</v>
      </c>
      <c r="H97" s="233">
        <v>8695438</v>
      </c>
      <c r="I97" s="211">
        <f t="shared" si="3"/>
        <v>8695438</v>
      </c>
      <c r="J97" s="91" t="str">
        <f>VLOOKUP(G97,'Input keuzevariabelen'!$F:$J,3,FALSE)</f>
        <v>kWh</v>
      </c>
      <c r="K97" s="91">
        <f>SUMIFS('Input keuzevariabelen'!$I:$I,'Input keuzevariabelen'!$F:$F,Data!G97,'Input keuzevariabelen'!$K:$K,Data!D97)</f>
        <v>0</v>
      </c>
      <c r="L97" s="91" t="str">
        <f>VLOOKUP(G97,'Input keuzevariabelen'!$F:$J,5,FALSE)</f>
        <v>gram CO2/kWh</v>
      </c>
      <c r="M97" s="209">
        <f t="shared" si="4"/>
        <v>0</v>
      </c>
      <c r="N97" s="99" t="s">
        <v>141</v>
      </c>
      <c r="O97" s="99" t="s">
        <v>142</v>
      </c>
      <c r="P97" s="96" t="s">
        <v>108</v>
      </c>
      <c r="Q97" s="91">
        <f>SUMIFS('Input keuzevariabelen'!$P:$P,'Input keuzevariabelen'!$M:$M,Data!G97)</f>
        <v>5.2199999999999998E-3</v>
      </c>
      <c r="R97" s="212">
        <f t="shared" si="5"/>
        <v>45390.18636</v>
      </c>
    </row>
    <row r="98" spans="2:18" ht="17.399999999999999" thickTop="1" thickBot="1" x14ac:dyDescent="0.35">
      <c r="B98" s="124" t="s">
        <v>8</v>
      </c>
      <c r="C98" s="247">
        <f>VLOOKUP(B98,'Input keuzevariabelen'!$B:$C,2,FALSE)</f>
        <v>1</v>
      </c>
      <c r="D98" s="120">
        <v>2021</v>
      </c>
      <c r="E98" s="125" t="s">
        <v>10</v>
      </c>
      <c r="F98" s="250">
        <f>VLOOKUP(G98,'Input keuzevariabelen'!$F:$J,2,FALSE)</f>
        <v>2</v>
      </c>
      <c r="G98" s="96" t="s">
        <v>27</v>
      </c>
      <c r="H98" s="234">
        <v>37041339</v>
      </c>
      <c r="I98" s="211">
        <f t="shared" si="3"/>
        <v>37041339</v>
      </c>
      <c r="J98" s="91" t="str">
        <f>VLOOKUP(G98,'Input keuzevariabelen'!$F:$J,3,FALSE)</f>
        <v>kWh</v>
      </c>
      <c r="K98" s="91">
        <f>SUMIFS('Input keuzevariabelen'!$I:$I,'Input keuzevariabelen'!$F:$F,Data!G98,'Input keuzevariabelen'!$K:$K,Data!D98)</f>
        <v>0</v>
      </c>
      <c r="L98" s="91" t="str">
        <f>VLOOKUP(G98,'Input keuzevariabelen'!$F:$J,5,FALSE)</f>
        <v>gram CO2/kWh</v>
      </c>
      <c r="M98" s="209">
        <f t="shared" si="4"/>
        <v>0</v>
      </c>
      <c r="N98" s="99" t="s">
        <v>141</v>
      </c>
      <c r="O98" s="99" t="s">
        <v>142</v>
      </c>
      <c r="P98" s="99" t="s">
        <v>110</v>
      </c>
      <c r="Q98" s="91">
        <f>SUMIFS('Input keuzevariabelen'!$P:$P,'Input keuzevariabelen'!$M:$M,Data!G98)</f>
        <v>5.2199999999999998E-3</v>
      </c>
      <c r="R98" s="212">
        <f t="shared" si="5"/>
        <v>193355.78957999998</v>
      </c>
    </row>
    <row r="99" spans="2:18" ht="17.399999999999999" thickTop="1" thickBot="1" x14ac:dyDescent="0.35">
      <c r="B99" s="124" t="s">
        <v>8</v>
      </c>
      <c r="C99" s="247">
        <f>VLOOKUP(B99,'Input keuzevariabelen'!$B:$C,2,FALSE)</f>
        <v>1</v>
      </c>
      <c r="D99" s="120">
        <v>2021</v>
      </c>
      <c r="E99" s="125" t="s">
        <v>10</v>
      </c>
      <c r="F99" s="250">
        <f>VLOOKUP(G99,'Input keuzevariabelen'!$F:$J,2,FALSE)</f>
        <v>2</v>
      </c>
      <c r="G99" s="96" t="s">
        <v>27</v>
      </c>
      <c r="H99" s="233">
        <v>34000</v>
      </c>
      <c r="I99" s="211">
        <f t="shared" si="3"/>
        <v>34000</v>
      </c>
      <c r="J99" s="91" t="str">
        <f>VLOOKUP(G99,'Input keuzevariabelen'!$F:$J,3,FALSE)</f>
        <v>kWh</v>
      </c>
      <c r="K99" s="91">
        <f>SUMIFS('Input keuzevariabelen'!$I:$I,'Input keuzevariabelen'!$F:$F,Data!G99,'Input keuzevariabelen'!$K:$K,Data!D99)</f>
        <v>0</v>
      </c>
      <c r="L99" s="91" t="str">
        <f>VLOOKUP(G99,'Input keuzevariabelen'!$F:$J,5,FALSE)</f>
        <v>gram CO2/kWh</v>
      </c>
      <c r="M99" s="209">
        <f t="shared" si="4"/>
        <v>0</v>
      </c>
      <c r="N99" s="96" t="s">
        <v>141</v>
      </c>
      <c r="O99" s="99" t="s">
        <v>143</v>
      </c>
      <c r="P99" s="99" t="s">
        <v>110</v>
      </c>
      <c r="Q99" s="91">
        <f>SUMIFS('Input keuzevariabelen'!$P:$P,'Input keuzevariabelen'!$M:$M,Data!G99)</f>
        <v>5.2199999999999998E-3</v>
      </c>
      <c r="R99" s="212">
        <f t="shared" si="5"/>
        <v>177.48</v>
      </c>
    </row>
    <row r="100" spans="2:18" ht="17.399999999999999" thickTop="1" thickBot="1" x14ac:dyDescent="0.35">
      <c r="B100" s="124" t="s">
        <v>8</v>
      </c>
      <c r="C100" s="247">
        <f>VLOOKUP(B100,'Input keuzevariabelen'!$B:$C,2,FALSE)</f>
        <v>1</v>
      </c>
      <c r="D100" s="120">
        <v>2021</v>
      </c>
      <c r="E100" s="125" t="s">
        <v>10</v>
      </c>
      <c r="F100" s="250">
        <f>VLOOKUP(G100,'Input keuzevariabelen'!$F:$J,2,FALSE)</f>
        <v>1</v>
      </c>
      <c r="G100" s="96" t="s">
        <v>18</v>
      </c>
      <c r="H100" s="233">
        <v>16562</v>
      </c>
      <c r="I100" s="211">
        <f t="shared" si="3"/>
        <v>16562</v>
      </c>
      <c r="J100" s="91" t="str">
        <f>VLOOKUP(G100,'Input keuzevariabelen'!$F:$J,3,FALSE)</f>
        <v>m3</v>
      </c>
      <c r="K100" s="91">
        <f>SUMIFS('Input keuzevariabelen'!$I:$I,'Input keuzevariabelen'!$F:$F,Data!G100,'Input keuzevariabelen'!$K:$K,Data!D100)</f>
        <v>1884</v>
      </c>
      <c r="L100" s="91" t="str">
        <f>VLOOKUP(G100,'Input keuzevariabelen'!$F:$J,5,FALSE)</f>
        <v>gram CO2/m3</v>
      </c>
      <c r="M100" s="209">
        <f t="shared" si="4"/>
        <v>31.202808000000001</v>
      </c>
      <c r="N100" s="99" t="s">
        <v>141</v>
      </c>
      <c r="O100" s="99" t="s">
        <v>112</v>
      </c>
      <c r="P100" s="96" t="s">
        <v>103</v>
      </c>
      <c r="Q100" s="91">
        <f>SUMIFS('Input keuzevariabelen'!$P:$P,'Input keuzevariabelen'!$M:$M,Data!G100)</f>
        <v>3.1649999999999998E-2</v>
      </c>
      <c r="R100" s="212">
        <f t="shared" si="5"/>
        <v>524.18729999999994</v>
      </c>
    </row>
    <row r="101" spans="2:18" ht="17.399999999999999" thickTop="1" thickBot="1" x14ac:dyDescent="0.35">
      <c r="B101" s="124" t="s">
        <v>8</v>
      </c>
      <c r="C101" s="247">
        <f>VLOOKUP(B101,'Input keuzevariabelen'!$B:$C,2,FALSE)</f>
        <v>1</v>
      </c>
      <c r="D101" s="120">
        <v>2021</v>
      </c>
      <c r="E101" s="125" t="s">
        <v>10</v>
      </c>
      <c r="F101" s="250">
        <f>VLOOKUP(G101,'Input keuzevariabelen'!$F:$J,2,FALSE)</f>
        <v>1</v>
      </c>
      <c r="G101" s="96" t="s">
        <v>18</v>
      </c>
      <c r="H101" s="233">
        <v>80318</v>
      </c>
      <c r="I101" s="211">
        <f t="shared" si="3"/>
        <v>80318</v>
      </c>
      <c r="J101" s="91" t="str">
        <f>VLOOKUP(G101,'Input keuzevariabelen'!$F:$J,3,FALSE)</f>
        <v>m3</v>
      </c>
      <c r="K101" s="91">
        <f>SUMIFS('Input keuzevariabelen'!$I:$I,'Input keuzevariabelen'!$F:$F,Data!G101,'Input keuzevariabelen'!$K:$K,Data!D101)</f>
        <v>1884</v>
      </c>
      <c r="L101" s="91" t="str">
        <f>VLOOKUP(G101,'Input keuzevariabelen'!$F:$J,5,FALSE)</f>
        <v>gram CO2/m3</v>
      </c>
      <c r="M101" s="209">
        <f t="shared" si="4"/>
        <v>151.31911199999999</v>
      </c>
      <c r="N101" s="99" t="s">
        <v>141</v>
      </c>
      <c r="O101" s="99" t="s">
        <v>112</v>
      </c>
      <c r="P101" s="96" t="s">
        <v>104</v>
      </c>
      <c r="Q101" s="91">
        <f>SUMIFS('Input keuzevariabelen'!$P:$P,'Input keuzevariabelen'!$M:$M,Data!G101)</f>
        <v>3.1649999999999998E-2</v>
      </c>
      <c r="R101" s="212">
        <f t="shared" si="5"/>
        <v>2542.0646999999999</v>
      </c>
    </row>
    <row r="102" spans="2:18" ht="17.399999999999999" thickTop="1" thickBot="1" x14ac:dyDescent="0.35">
      <c r="B102" s="123" t="s">
        <v>8</v>
      </c>
      <c r="C102" s="247">
        <f>VLOOKUP(B102,'Input keuzevariabelen'!$B:$C,2,FALSE)</f>
        <v>1</v>
      </c>
      <c r="D102" s="120">
        <v>2021</v>
      </c>
      <c r="E102" s="125" t="s">
        <v>10</v>
      </c>
      <c r="F102" s="250">
        <f>VLOOKUP(G102,'Input keuzevariabelen'!$F:$J,2,FALSE)</f>
        <v>1</v>
      </c>
      <c r="G102" s="96" t="s">
        <v>18</v>
      </c>
      <c r="H102" s="233">
        <v>10389</v>
      </c>
      <c r="I102" s="211">
        <f t="shared" si="3"/>
        <v>10389</v>
      </c>
      <c r="J102" s="91" t="str">
        <f>VLOOKUP(G102,'Input keuzevariabelen'!$F:$J,3,FALSE)</f>
        <v>m3</v>
      </c>
      <c r="K102" s="91">
        <f>SUMIFS('Input keuzevariabelen'!$I:$I,'Input keuzevariabelen'!$F:$F,Data!G102,'Input keuzevariabelen'!$K:$K,Data!D102)</f>
        <v>1884</v>
      </c>
      <c r="L102" s="91" t="str">
        <f>VLOOKUP(G102,'Input keuzevariabelen'!$F:$J,5,FALSE)</f>
        <v>gram CO2/m3</v>
      </c>
      <c r="M102" s="209">
        <f t="shared" si="4"/>
        <v>19.572876000000001</v>
      </c>
      <c r="N102" s="99" t="s">
        <v>141</v>
      </c>
      <c r="O102" s="96" t="s">
        <v>112</v>
      </c>
      <c r="P102" s="96" t="s">
        <v>105</v>
      </c>
      <c r="Q102" s="91">
        <f>SUMIFS('Input keuzevariabelen'!$P:$P,'Input keuzevariabelen'!$M:$M,Data!G102)</f>
        <v>3.1649999999999998E-2</v>
      </c>
      <c r="R102" s="212">
        <f t="shared" si="5"/>
        <v>328.81184999999999</v>
      </c>
    </row>
    <row r="103" spans="2:18" ht="17.399999999999999" thickTop="1" thickBot="1" x14ac:dyDescent="0.35">
      <c r="B103" s="124" t="s">
        <v>8</v>
      </c>
      <c r="C103" s="247">
        <f>VLOOKUP(B103,'Input keuzevariabelen'!$B:$C,2,FALSE)</f>
        <v>1</v>
      </c>
      <c r="D103" s="120">
        <v>2021</v>
      </c>
      <c r="E103" s="125" t="s">
        <v>10</v>
      </c>
      <c r="F103" s="250">
        <f>VLOOKUP(G103,'Input keuzevariabelen'!$F:$J,2,FALSE)</f>
        <v>1</v>
      </c>
      <c r="G103" s="96" t="s">
        <v>18</v>
      </c>
      <c r="H103" s="233">
        <v>482075</v>
      </c>
      <c r="I103" s="211">
        <f t="shared" si="3"/>
        <v>482075</v>
      </c>
      <c r="J103" s="91" t="str">
        <f>VLOOKUP(G103,'Input keuzevariabelen'!$F:$J,3,FALSE)</f>
        <v>m3</v>
      </c>
      <c r="K103" s="91">
        <f>SUMIFS('Input keuzevariabelen'!$I:$I,'Input keuzevariabelen'!$F:$F,Data!G103,'Input keuzevariabelen'!$K:$K,Data!D103)</f>
        <v>1884</v>
      </c>
      <c r="L103" s="91" t="str">
        <f>VLOOKUP(G103,'Input keuzevariabelen'!$F:$J,5,FALSE)</f>
        <v>gram CO2/m3</v>
      </c>
      <c r="M103" s="209">
        <f t="shared" si="4"/>
        <v>908.22929999999997</v>
      </c>
      <c r="N103" s="99" t="s">
        <v>141</v>
      </c>
      <c r="O103" s="99" t="s">
        <v>112</v>
      </c>
      <c r="P103" s="91" t="s">
        <v>107</v>
      </c>
      <c r="Q103" s="91">
        <f>SUMIFS('Input keuzevariabelen'!$P:$P,'Input keuzevariabelen'!$M:$M,Data!G103)</f>
        <v>3.1649999999999998E-2</v>
      </c>
      <c r="R103" s="212">
        <f t="shared" si="5"/>
        <v>15257.673749999998</v>
      </c>
    </row>
    <row r="104" spans="2:18" ht="17.399999999999999" thickTop="1" thickBot="1" x14ac:dyDescent="0.35">
      <c r="B104" s="124" t="s">
        <v>8</v>
      </c>
      <c r="C104" s="247">
        <f>VLOOKUP(B104,'Input keuzevariabelen'!$B:$C,2,FALSE)</f>
        <v>1</v>
      </c>
      <c r="D104" s="120">
        <v>2021</v>
      </c>
      <c r="E104" s="125" t="s">
        <v>10</v>
      </c>
      <c r="F104" s="250">
        <f>VLOOKUP(G104,'Input keuzevariabelen'!$F:$J,2,FALSE)</f>
        <v>1</v>
      </c>
      <c r="G104" s="96" t="s">
        <v>18</v>
      </c>
      <c r="H104" s="233">
        <v>421887</v>
      </c>
      <c r="I104" s="211">
        <f t="shared" si="3"/>
        <v>421887</v>
      </c>
      <c r="J104" s="91" t="str">
        <f>VLOOKUP(G104,'Input keuzevariabelen'!$F:$J,3,FALSE)</f>
        <v>m3</v>
      </c>
      <c r="K104" s="91">
        <f>SUMIFS('Input keuzevariabelen'!$I:$I,'Input keuzevariabelen'!$F:$F,Data!G104,'Input keuzevariabelen'!$K:$K,Data!D104)</f>
        <v>1884</v>
      </c>
      <c r="L104" s="91" t="str">
        <f>VLOOKUP(G104,'Input keuzevariabelen'!$F:$J,5,FALSE)</f>
        <v>gram CO2/m3</v>
      </c>
      <c r="M104" s="209">
        <f t="shared" si="4"/>
        <v>794.83510799999999</v>
      </c>
      <c r="N104" s="99" t="s">
        <v>141</v>
      </c>
      <c r="O104" s="99" t="s">
        <v>112</v>
      </c>
      <c r="P104" s="93" t="s">
        <v>108</v>
      </c>
      <c r="Q104" s="91">
        <f>SUMIFS('Input keuzevariabelen'!$P:$P,'Input keuzevariabelen'!$M:$M,Data!G104)</f>
        <v>3.1649999999999998E-2</v>
      </c>
      <c r="R104" s="212">
        <f t="shared" si="5"/>
        <v>13352.723549999999</v>
      </c>
    </row>
    <row r="105" spans="2:18" ht="17.399999999999999" thickTop="1" thickBot="1" x14ac:dyDescent="0.35">
      <c r="B105" s="124" t="s">
        <v>8</v>
      </c>
      <c r="C105" s="247">
        <f>VLOOKUP(B105,'Input keuzevariabelen'!$B:$C,2,FALSE)</f>
        <v>1</v>
      </c>
      <c r="D105" s="120">
        <v>2021</v>
      </c>
      <c r="E105" s="125" t="s">
        <v>10</v>
      </c>
      <c r="F105" s="250">
        <f>VLOOKUP(G105,'Input keuzevariabelen'!$F:$J,2,FALSE)</f>
        <v>1</v>
      </c>
      <c r="G105" s="96" t="s">
        <v>18</v>
      </c>
      <c r="H105" s="233">
        <v>1028829</v>
      </c>
      <c r="I105" s="211">
        <f t="shared" si="3"/>
        <v>1028829</v>
      </c>
      <c r="J105" s="91" t="str">
        <f>VLOOKUP(G105,'Input keuzevariabelen'!$F:$J,3,FALSE)</f>
        <v>m3</v>
      </c>
      <c r="K105" s="91">
        <f>SUMIFS('Input keuzevariabelen'!$I:$I,'Input keuzevariabelen'!$F:$F,Data!G105,'Input keuzevariabelen'!$K:$K,Data!D105)</f>
        <v>1884</v>
      </c>
      <c r="L105" s="91" t="str">
        <f>VLOOKUP(G105,'Input keuzevariabelen'!$F:$J,5,FALSE)</f>
        <v>gram CO2/m3</v>
      </c>
      <c r="M105" s="209">
        <f t="shared" si="4"/>
        <v>1938.313836</v>
      </c>
      <c r="N105" s="99" t="s">
        <v>141</v>
      </c>
      <c r="O105" s="99" t="s">
        <v>112</v>
      </c>
      <c r="P105" s="93" t="s">
        <v>110</v>
      </c>
      <c r="Q105" s="91">
        <f>SUMIFS('Input keuzevariabelen'!$P:$P,'Input keuzevariabelen'!$M:$M,Data!G105)</f>
        <v>3.1649999999999998E-2</v>
      </c>
      <c r="R105" s="212">
        <f t="shared" si="5"/>
        <v>32562.437849999998</v>
      </c>
    </row>
    <row r="106" spans="2:18" ht="17.399999999999999" thickTop="1" thickBot="1" x14ac:dyDescent="0.35">
      <c r="B106" s="124" t="s">
        <v>8</v>
      </c>
      <c r="C106" s="279">
        <f>VLOOKUP(B106,'Input keuzevariabelen'!$B:$C,2,FALSE)</f>
        <v>1</v>
      </c>
      <c r="D106" s="120">
        <v>2021</v>
      </c>
      <c r="E106" s="125" t="s">
        <v>10</v>
      </c>
      <c r="F106" s="250" t="str">
        <f>VLOOKUP(G106,'Input keuzevariabelen'!$F:$J,2,FALSE)</f>
        <v>Memo</v>
      </c>
      <c r="G106" s="96" t="s">
        <v>42</v>
      </c>
      <c r="H106" s="233">
        <v>6540</v>
      </c>
      <c r="I106" s="211">
        <f t="shared" si="3"/>
        <v>6540</v>
      </c>
      <c r="J106" s="91" t="str">
        <f>VLOOKUP(G106,'Input keuzevariabelen'!$F:$J,3,FALSE)</f>
        <v>m3</v>
      </c>
      <c r="K106" s="91">
        <f>SUMIFS('Input keuzevariabelen'!$I:$I,'Input keuzevariabelen'!$F:$F,Data!G106,'Input keuzevariabelen'!$K:$K,Data!D106)</f>
        <v>1962</v>
      </c>
      <c r="L106" s="91" t="str">
        <f>VLOOKUP(G106,'Input keuzevariabelen'!$F:$J,5,FALSE)</f>
        <v>gram CO2/m3</v>
      </c>
      <c r="M106" s="209">
        <f t="shared" si="4"/>
        <v>12.831480000000001</v>
      </c>
      <c r="N106" s="99" t="s">
        <v>141</v>
      </c>
      <c r="O106" s="99" t="s">
        <v>144</v>
      </c>
      <c r="P106" s="93" t="s">
        <v>105</v>
      </c>
      <c r="Q106" s="91">
        <f>SUMIFS('Input keuzevariabelen'!$P:$P,'Input keuzevariabelen'!$M:$M,Data!G106)</f>
        <v>0</v>
      </c>
      <c r="R106" s="212">
        <f t="shared" si="5"/>
        <v>0</v>
      </c>
    </row>
    <row r="107" spans="2:18" ht="17.399999999999999" thickTop="1" thickBot="1" x14ac:dyDescent="0.35">
      <c r="B107" s="124" t="s">
        <v>8</v>
      </c>
      <c r="C107" s="279">
        <f>VLOOKUP(B107,'Input keuzevariabelen'!$B:$C,2,FALSE)</f>
        <v>1</v>
      </c>
      <c r="D107" s="120">
        <v>2021</v>
      </c>
      <c r="E107" s="125" t="s">
        <v>10</v>
      </c>
      <c r="F107" s="250" t="str">
        <f>VLOOKUP(G107,'Input keuzevariabelen'!$F:$J,2,FALSE)</f>
        <v>Memo</v>
      </c>
      <c r="G107" s="96" t="s">
        <v>42</v>
      </c>
      <c r="H107" s="233">
        <v>38322</v>
      </c>
      <c r="I107" s="211">
        <f t="shared" si="3"/>
        <v>38322</v>
      </c>
      <c r="J107" s="91" t="str">
        <f>VLOOKUP(G107,'Input keuzevariabelen'!$F:$J,3,FALSE)</f>
        <v>m3</v>
      </c>
      <c r="K107" s="91">
        <f>SUMIFS('Input keuzevariabelen'!$I:$I,'Input keuzevariabelen'!$F:$F,Data!G107,'Input keuzevariabelen'!$K:$K,Data!D107)</f>
        <v>1962</v>
      </c>
      <c r="L107" s="91" t="str">
        <f>VLOOKUP(G107,'Input keuzevariabelen'!$F:$J,5,FALSE)</f>
        <v>gram CO2/m3</v>
      </c>
      <c r="M107" s="209">
        <f t="shared" si="4"/>
        <v>75.187764000000001</v>
      </c>
      <c r="N107" s="99" t="s">
        <v>141</v>
      </c>
      <c r="O107" s="99" t="s">
        <v>144</v>
      </c>
      <c r="P107" s="93" t="s">
        <v>107</v>
      </c>
      <c r="Q107" s="91">
        <f>SUMIFS('Input keuzevariabelen'!$P:$P,'Input keuzevariabelen'!$M:$M,Data!G107)</f>
        <v>0</v>
      </c>
      <c r="R107" s="212">
        <f t="shared" si="5"/>
        <v>0</v>
      </c>
    </row>
    <row r="108" spans="2:18" ht="17.399999999999999" thickTop="1" thickBot="1" x14ac:dyDescent="0.35">
      <c r="B108" s="124" t="s">
        <v>8</v>
      </c>
      <c r="C108" s="279">
        <f>VLOOKUP(B108,'Input keuzevariabelen'!$B:$C,2,FALSE)</f>
        <v>1</v>
      </c>
      <c r="D108" s="120">
        <v>2021</v>
      </c>
      <c r="E108" s="125" t="s">
        <v>10</v>
      </c>
      <c r="F108" s="250" t="str">
        <f>VLOOKUP(G108,'Input keuzevariabelen'!$F:$J,2,FALSE)</f>
        <v>Memo</v>
      </c>
      <c r="G108" s="96" t="s">
        <v>42</v>
      </c>
      <c r="H108" s="233">
        <v>80939.082679400002</v>
      </c>
      <c r="I108" s="211">
        <f t="shared" si="3"/>
        <v>80939.082679400002</v>
      </c>
      <c r="J108" s="91" t="str">
        <f>VLOOKUP(G108,'Input keuzevariabelen'!$F:$J,3,FALSE)</f>
        <v>m3</v>
      </c>
      <c r="K108" s="91">
        <f>SUMIFS('Input keuzevariabelen'!$I:$I,'Input keuzevariabelen'!$F:$F,Data!G108,'Input keuzevariabelen'!$K:$K,Data!D108)</f>
        <v>1962</v>
      </c>
      <c r="L108" s="91" t="str">
        <f>VLOOKUP(G108,'Input keuzevariabelen'!$F:$J,5,FALSE)</f>
        <v>gram CO2/m3</v>
      </c>
      <c r="M108" s="209">
        <f t="shared" si="4"/>
        <v>158.80248021698281</v>
      </c>
      <c r="N108" s="99" t="s">
        <v>141</v>
      </c>
      <c r="O108" s="99" t="s">
        <v>144</v>
      </c>
      <c r="P108" s="99" t="s">
        <v>108</v>
      </c>
      <c r="Q108" s="91">
        <f>SUMIFS('Input keuzevariabelen'!$P:$P,'Input keuzevariabelen'!$M:$M,Data!G108)</f>
        <v>0</v>
      </c>
      <c r="R108" s="212">
        <f t="shared" si="5"/>
        <v>0</v>
      </c>
    </row>
    <row r="109" spans="2:18" ht="17.399999999999999" thickTop="1" thickBot="1" x14ac:dyDescent="0.35">
      <c r="B109" s="124" t="s">
        <v>8</v>
      </c>
      <c r="C109" s="279">
        <f>VLOOKUP(B109,'Input keuzevariabelen'!$B:$C,2,FALSE)</f>
        <v>1</v>
      </c>
      <c r="D109" s="120">
        <v>2021</v>
      </c>
      <c r="E109" s="125" t="s">
        <v>10</v>
      </c>
      <c r="F109" s="250" t="str">
        <f>VLOOKUP(G109,'Input keuzevariabelen'!$F:$J,2,FALSE)</f>
        <v>Memo</v>
      </c>
      <c r="G109" s="96" t="s">
        <v>42</v>
      </c>
      <c r="H109" s="233">
        <v>24692</v>
      </c>
      <c r="I109" s="211">
        <f t="shared" si="3"/>
        <v>24692</v>
      </c>
      <c r="J109" s="91" t="str">
        <f>VLOOKUP(G109,'Input keuzevariabelen'!$F:$J,3,FALSE)</f>
        <v>m3</v>
      </c>
      <c r="K109" s="91">
        <f>SUMIFS('Input keuzevariabelen'!$I:$I,'Input keuzevariabelen'!$F:$F,Data!G109,'Input keuzevariabelen'!$K:$K,Data!D109)</f>
        <v>1962</v>
      </c>
      <c r="L109" s="91" t="str">
        <f>VLOOKUP(G109,'Input keuzevariabelen'!$F:$J,5,FALSE)</f>
        <v>gram CO2/m3</v>
      </c>
      <c r="M109" s="209">
        <f t="shared" si="4"/>
        <v>48.445703999999999</v>
      </c>
      <c r="N109" s="99" t="s">
        <v>141</v>
      </c>
      <c r="O109" s="99" t="s">
        <v>144</v>
      </c>
      <c r="P109" s="99" t="s">
        <v>110</v>
      </c>
      <c r="Q109" s="91">
        <f>SUMIFS('Input keuzevariabelen'!$P:$P,'Input keuzevariabelen'!$M:$M,Data!G109)</f>
        <v>0</v>
      </c>
      <c r="R109" s="212">
        <f t="shared" si="5"/>
        <v>0</v>
      </c>
    </row>
    <row r="110" spans="2:18" ht="17.399999999999999" thickTop="1" thickBot="1" x14ac:dyDescent="0.35">
      <c r="B110" s="124" t="s">
        <v>8</v>
      </c>
      <c r="C110" s="279">
        <f>VLOOKUP(B110,'Input keuzevariabelen'!$B:$C,2,FALSE)</f>
        <v>1</v>
      </c>
      <c r="D110" s="120">
        <v>2021</v>
      </c>
      <c r="E110" s="125" t="s">
        <v>10</v>
      </c>
      <c r="F110" s="250" t="str">
        <f>VLOOKUP(G110,'Input keuzevariabelen'!$F:$J,2,FALSE)</f>
        <v>Memo</v>
      </c>
      <c r="G110" s="96" t="s">
        <v>40</v>
      </c>
      <c r="H110" s="233">
        <v>527432</v>
      </c>
      <c r="I110" s="211">
        <f t="shared" si="3"/>
        <v>527432</v>
      </c>
      <c r="J110" s="91" t="str">
        <f>VLOOKUP(G110,'Input keuzevariabelen'!$F:$J,3,FALSE)</f>
        <v>m3</v>
      </c>
      <c r="K110" s="91">
        <f>SUMIFS('Input keuzevariabelen'!$I:$I,'Input keuzevariabelen'!$F:$F,Data!G110,'Input keuzevariabelen'!$K:$K,Data!D110)</f>
        <v>1962</v>
      </c>
      <c r="L110" s="91" t="str">
        <f>VLOOKUP(G110,'Input keuzevariabelen'!$F:$J,5,FALSE)</f>
        <v>gram CO2/m3</v>
      </c>
      <c r="M110" s="209">
        <f t="shared" si="4"/>
        <v>1034.821584</v>
      </c>
      <c r="N110" s="99" t="s">
        <v>141</v>
      </c>
      <c r="O110" s="99" t="s">
        <v>145</v>
      </c>
      <c r="P110" s="93" t="s">
        <v>105</v>
      </c>
      <c r="Q110" s="91">
        <f>SUMIFS('Input keuzevariabelen'!$P:$P,'Input keuzevariabelen'!$M:$M,Data!G110)</f>
        <v>0</v>
      </c>
      <c r="R110" s="212">
        <f t="shared" si="5"/>
        <v>0</v>
      </c>
    </row>
    <row r="111" spans="2:18" ht="17.399999999999999" thickTop="1" thickBot="1" x14ac:dyDescent="0.35">
      <c r="B111" s="124" t="s">
        <v>8</v>
      </c>
      <c r="C111" s="279">
        <f>VLOOKUP(B111,'Input keuzevariabelen'!$B:$C,2,FALSE)</f>
        <v>1</v>
      </c>
      <c r="D111" s="120">
        <v>2021</v>
      </c>
      <c r="E111" s="125" t="s">
        <v>10</v>
      </c>
      <c r="F111" s="250" t="str">
        <f>VLOOKUP(G111,'Input keuzevariabelen'!$F:$J,2,FALSE)</f>
        <v>Memo</v>
      </c>
      <c r="G111" s="96" t="s">
        <v>40</v>
      </c>
      <c r="H111" s="233">
        <v>202393</v>
      </c>
      <c r="I111" s="211">
        <f t="shared" si="3"/>
        <v>202393</v>
      </c>
      <c r="J111" s="91" t="str">
        <f>VLOOKUP(G111,'Input keuzevariabelen'!$F:$J,3,FALSE)</f>
        <v>m3</v>
      </c>
      <c r="K111" s="91">
        <f>SUMIFS('Input keuzevariabelen'!$I:$I,'Input keuzevariabelen'!$F:$F,Data!G111,'Input keuzevariabelen'!$K:$K,Data!D111)</f>
        <v>1962</v>
      </c>
      <c r="L111" s="91" t="str">
        <f>VLOOKUP(G111,'Input keuzevariabelen'!$F:$J,5,FALSE)</f>
        <v>gram CO2/m3</v>
      </c>
      <c r="M111" s="209">
        <f t="shared" si="4"/>
        <v>397.09506599999997</v>
      </c>
      <c r="N111" s="99" t="s">
        <v>141</v>
      </c>
      <c r="O111" s="99" t="s">
        <v>145</v>
      </c>
      <c r="P111" s="93" t="s">
        <v>107</v>
      </c>
      <c r="Q111" s="91">
        <f>SUMIFS('Input keuzevariabelen'!$P:$P,'Input keuzevariabelen'!$M:$M,Data!G111)</f>
        <v>0</v>
      </c>
      <c r="R111" s="212">
        <f t="shared" si="5"/>
        <v>0</v>
      </c>
    </row>
    <row r="112" spans="2:18" ht="17.399999999999999" thickTop="1" thickBot="1" x14ac:dyDescent="0.35">
      <c r="B112" s="124" t="s">
        <v>8</v>
      </c>
      <c r="C112" s="279">
        <f>VLOOKUP(B112,'Input keuzevariabelen'!$B:$C,2,FALSE)</f>
        <v>1</v>
      </c>
      <c r="D112" s="120">
        <v>2021</v>
      </c>
      <c r="E112" s="125" t="s">
        <v>10</v>
      </c>
      <c r="F112" s="250" t="str">
        <f>VLOOKUP(G112,'Input keuzevariabelen'!$F:$J,2,FALSE)</f>
        <v>Memo</v>
      </c>
      <c r="G112" s="96" t="s">
        <v>40</v>
      </c>
      <c r="H112" s="233">
        <v>316662</v>
      </c>
      <c r="I112" s="211">
        <f t="shared" si="3"/>
        <v>316662</v>
      </c>
      <c r="J112" s="91" t="str">
        <f>VLOOKUP(G112,'Input keuzevariabelen'!$F:$J,3,FALSE)</f>
        <v>m3</v>
      </c>
      <c r="K112" s="91">
        <f>SUMIFS('Input keuzevariabelen'!$I:$I,'Input keuzevariabelen'!$F:$F,Data!G112,'Input keuzevariabelen'!$K:$K,Data!D112)</f>
        <v>1962</v>
      </c>
      <c r="L112" s="91" t="str">
        <f>VLOOKUP(G112,'Input keuzevariabelen'!$F:$J,5,FALSE)</f>
        <v>gram CO2/m3</v>
      </c>
      <c r="M112" s="209">
        <f t="shared" si="4"/>
        <v>621.29084399999999</v>
      </c>
      <c r="N112" s="99" t="s">
        <v>141</v>
      </c>
      <c r="O112" s="99" t="s">
        <v>145</v>
      </c>
      <c r="P112" s="99" t="s">
        <v>110</v>
      </c>
      <c r="Q112" s="91">
        <f>SUMIFS('Input keuzevariabelen'!$P:$P,'Input keuzevariabelen'!$M:$M,Data!G112)</f>
        <v>0</v>
      </c>
      <c r="R112" s="212">
        <f t="shared" si="5"/>
        <v>0</v>
      </c>
    </row>
    <row r="113" spans="2:18" ht="17.399999999999999" thickTop="1" thickBot="1" x14ac:dyDescent="0.35">
      <c r="B113" s="124" t="s">
        <v>8</v>
      </c>
      <c r="C113" s="279">
        <f>VLOOKUP(B113,'Input keuzevariabelen'!$B:$C,2,FALSE)</f>
        <v>1</v>
      </c>
      <c r="D113" s="120">
        <v>2021</v>
      </c>
      <c r="E113" s="125" t="s">
        <v>10</v>
      </c>
      <c r="F113" s="250">
        <f>VLOOKUP(G113,'Input keuzevariabelen'!$F:$J,2,FALSE)</f>
        <v>1</v>
      </c>
      <c r="G113" s="96" t="s">
        <v>20</v>
      </c>
      <c r="H113" s="233">
        <v>868</v>
      </c>
      <c r="I113" s="211">
        <f t="shared" si="3"/>
        <v>868</v>
      </c>
      <c r="J113" s="91" t="str">
        <f>VLOOKUP(G113,'Input keuzevariabelen'!$F:$J,3,FALSE)</f>
        <v>liter</v>
      </c>
      <c r="K113" s="91">
        <f>SUMIFS('Input keuzevariabelen'!$I:$I,'Input keuzevariabelen'!$F:$F,Data!G113,'Input keuzevariabelen'!$K:$K,Data!D113)</f>
        <v>3262</v>
      </c>
      <c r="L113" s="91" t="str">
        <f>VLOOKUP(G113,'Input keuzevariabelen'!$F:$J,5,FALSE)</f>
        <v>gram CO2/liter</v>
      </c>
      <c r="M113" s="209">
        <f t="shared" si="4"/>
        <v>2.8314159999999999</v>
      </c>
      <c r="N113" s="99" t="s">
        <v>141</v>
      </c>
      <c r="O113" s="99" t="s">
        <v>146</v>
      </c>
      <c r="P113" s="99" t="s">
        <v>110</v>
      </c>
      <c r="Q113" s="91">
        <f>SUMIFS('Input keuzevariabelen'!$P:$P,'Input keuzevariabelen'!$M:$M,Data!G113)</f>
        <v>3.6299999999999999E-2</v>
      </c>
      <c r="R113" s="212">
        <f t="shared" si="5"/>
        <v>31.508399999999998</v>
      </c>
    </row>
    <row r="114" spans="2:18" ht="17.399999999999999" thickTop="1" thickBot="1" x14ac:dyDescent="0.35">
      <c r="B114" s="124" t="s">
        <v>8</v>
      </c>
      <c r="C114" s="279">
        <f>VLOOKUP(B114,'Input keuzevariabelen'!$B:$C,2,FALSE)</f>
        <v>1</v>
      </c>
      <c r="D114" s="120">
        <v>2021</v>
      </c>
      <c r="E114" s="125" t="s">
        <v>10</v>
      </c>
      <c r="F114" s="250">
        <f>VLOOKUP(G114,'Input keuzevariabelen'!$F:$J,2,FALSE)</f>
        <v>1</v>
      </c>
      <c r="G114" s="96" t="s">
        <v>22</v>
      </c>
      <c r="H114" s="233">
        <v>29034</v>
      </c>
      <c r="I114" s="211">
        <f t="shared" si="3"/>
        <v>29034</v>
      </c>
      <c r="J114" s="91" t="str">
        <f>VLOOKUP(G114,'Input keuzevariabelen'!$F:$J,3,FALSE)</f>
        <v>liter</v>
      </c>
      <c r="K114" s="91">
        <f>SUMIFS('Input keuzevariabelen'!$I:$I,'Input keuzevariabelen'!$F:$F,Data!G114,'Input keuzevariabelen'!$K:$K,Data!D114)</f>
        <v>2784</v>
      </c>
      <c r="L114" s="91" t="str">
        <f>VLOOKUP(G114,'Input keuzevariabelen'!$F:$J,5,FALSE)</f>
        <v>gram CO2/liter</v>
      </c>
      <c r="M114" s="209">
        <f t="shared" si="4"/>
        <v>80.830656000000005</v>
      </c>
      <c r="N114" s="99" t="s">
        <v>147</v>
      </c>
      <c r="O114" s="99"/>
      <c r="P114" s="100"/>
      <c r="Q114" s="91">
        <f>SUMIFS('Input keuzevariabelen'!$P:$P,'Input keuzevariabelen'!$M:$M,Data!G114)</f>
        <v>3.1E-2</v>
      </c>
      <c r="R114" s="212">
        <f t="shared" si="5"/>
        <v>900.05399999999997</v>
      </c>
    </row>
    <row r="115" spans="2:18" ht="17.399999999999999" thickTop="1" thickBot="1" x14ac:dyDescent="0.35">
      <c r="B115" s="124" t="s">
        <v>8</v>
      </c>
      <c r="C115" s="279">
        <f>VLOOKUP(B115,'Input keuzevariabelen'!$B:$C,2,FALSE)</f>
        <v>1</v>
      </c>
      <c r="D115" s="120">
        <v>2021</v>
      </c>
      <c r="E115" s="125" t="s">
        <v>10</v>
      </c>
      <c r="F115" s="250">
        <f>VLOOKUP(G115,'Input keuzevariabelen'!$F:$J,2,FALSE)</f>
        <v>1</v>
      </c>
      <c r="G115" s="96" t="s">
        <v>20</v>
      </c>
      <c r="H115" s="233">
        <v>27084</v>
      </c>
      <c r="I115" s="211">
        <f t="shared" si="3"/>
        <v>27084</v>
      </c>
      <c r="J115" s="91" t="str">
        <f>VLOOKUP(G115,'Input keuzevariabelen'!$F:$J,3,FALSE)</f>
        <v>liter</v>
      </c>
      <c r="K115" s="91">
        <f>SUMIFS('Input keuzevariabelen'!$I:$I,'Input keuzevariabelen'!$F:$F,Data!G115,'Input keuzevariabelen'!$K:$K,Data!D115)</f>
        <v>3262</v>
      </c>
      <c r="L115" s="91" t="str">
        <f>VLOOKUP(G115,'Input keuzevariabelen'!$F:$J,5,FALSE)</f>
        <v>gram CO2/liter</v>
      </c>
      <c r="M115" s="209">
        <f t="shared" si="4"/>
        <v>88.348007999999993</v>
      </c>
      <c r="N115" s="99" t="s">
        <v>147</v>
      </c>
      <c r="O115" s="99"/>
      <c r="P115" s="100"/>
      <c r="Q115" s="91">
        <f>SUMIFS('Input keuzevariabelen'!$P:$P,'Input keuzevariabelen'!$M:$M,Data!G115)</f>
        <v>3.6299999999999999E-2</v>
      </c>
      <c r="R115" s="212">
        <f t="shared" si="5"/>
        <v>983.14919999999995</v>
      </c>
    </row>
    <row r="116" spans="2:18" ht="17.399999999999999" thickTop="1" thickBot="1" x14ac:dyDescent="0.35">
      <c r="B116" s="124" t="s">
        <v>8</v>
      </c>
      <c r="C116" s="279">
        <f>VLOOKUP(B116,'Input keuzevariabelen'!$B:$C,2,FALSE)</f>
        <v>1</v>
      </c>
      <c r="D116" s="120">
        <v>2021</v>
      </c>
      <c r="E116" s="125" t="s">
        <v>10</v>
      </c>
      <c r="F116" s="250" t="str">
        <f>VLOOKUP(G116,'Input keuzevariabelen'!$F:$J,2,FALSE)</f>
        <v>bt</v>
      </c>
      <c r="G116" s="96" t="s">
        <v>31</v>
      </c>
      <c r="H116" s="233">
        <v>171132</v>
      </c>
      <c r="I116" s="211">
        <f t="shared" si="3"/>
        <v>171132</v>
      </c>
      <c r="J116" s="91" t="str">
        <f>VLOOKUP(G116,'Input keuzevariabelen'!$F:$J,3,FALSE)</f>
        <v>km</v>
      </c>
      <c r="K116" s="91">
        <f>SUMIFS('Input keuzevariabelen'!$I:$I,'Input keuzevariabelen'!$F:$F,Data!G116,'Input keuzevariabelen'!$K:$K,Data!D116)</f>
        <v>195</v>
      </c>
      <c r="L116" s="91" t="str">
        <f>VLOOKUP(G116,'Input keuzevariabelen'!$F:$J,5,FALSE)</f>
        <v>gram CO2/km</v>
      </c>
      <c r="M116" s="209">
        <f t="shared" si="4"/>
        <v>33.370739999999998</v>
      </c>
      <c r="N116" s="99" t="s">
        <v>147</v>
      </c>
      <c r="O116" s="99"/>
      <c r="P116" s="100"/>
      <c r="Q116" s="91">
        <f>SUMIFS('Input keuzevariabelen'!$P:$P,'Input keuzevariabelen'!$M:$M,Data!G116)</f>
        <v>0</v>
      </c>
      <c r="R116" s="212">
        <f t="shared" si="5"/>
        <v>0</v>
      </c>
    </row>
    <row r="117" spans="2:18" ht="17.399999999999999" thickTop="1" thickBot="1" x14ac:dyDescent="0.35">
      <c r="B117" s="124" t="s">
        <v>8</v>
      </c>
      <c r="C117" s="279">
        <f>VLOOKUP(B117,'Input keuzevariabelen'!$B:$C,2,FALSE)</f>
        <v>1</v>
      </c>
      <c r="D117" s="120">
        <v>2021</v>
      </c>
      <c r="E117" s="125" t="s">
        <v>10</v>
      </c>
      <c r="F117" s="250" t="str">
        <f>VLOOKUP(G117,'Input keuzevariabelen'!$F:$J,2,FALSE)</f>
        <v>bt</v>
      </c>
      <c r="G117" s="96" t="s">
        <v>33</v>
      </c>
      <c r="H117" s="233">
        <v>133645</v>
      </c>
      <c r="I117" s="211">
        <f t="shared" si="3"/>
        <v>133645</v>
      </c>
      <c r="J117" s="91" t="str">
        <f>VLOOKUP(G117,'Input keuzevariabelen'!$F:$J,3,FALSE)</f>
        <v>km</v>
      </c>
      <c r="K117" s="91">
        <f>SUMIFS('Input keuzevariabelen'!$I:$I,'Input keuzevariabelen'!$F:$F,Data!G117,'Input keuzevariabelen'!$K:$K,Data!D117)</f>
        <v>15</v>
      </c>
      <c r="L117" s="91" t="str">
        <f>VLOOKUP(G117,'Input keuzevariabelen'!$F:$J,5,FALSE)</f>
        <v>gram CO2/km</v>
      </c>
      <c r="M117" s="209">
        <f t="shared" si="4"/>
        <v>2.0046750000000002</v>
      </c>
      <c r="N117" s="99" t="s">
        <v>147</v>
      </c>
      <c r="O117" s="99"/>
      <c r="P117" s="100"/>
      <c r="Q117" s="91">
        <f>SUMIFS('Input keuzevariabelen'!$P:$P,'Input keuzevariabelen'!$M:$M,Data!G117)</f>
        <v>0</v>
      </c>
      <c r="R117" s="212">
        <f t="shared" si="5"/>
        <v>0</v>
      </c>
    </row>
    <row r="118" spans="2:18" ht="17.399999999999999" thickTop="1" thickBot="1" x14ac:dyDescent="0.35">
      <c r="B118" s="124" t="s">
        <v>8</v>
      </c>
      <c r="C118" s="279">
        <f>VLOOKUP(B118,'Input keuzevariabelen'!$B:$C,2,FALSE)</f>
        <v>1</v>
      </c>
      <c r="D118" s="120">
        <v>2021</v>
      </c>
      <c r="E118" s="125" t="s">
        <v>10</v>
      </c>
      <c r="F118" s="250" t="str">
        <f>VLOOKUP(G118,'Input keuzevariabelen'!$F:$J,2,FALSE)</f>
        <v>bt</v>
      </c>
      <c r="G118" s="96" t="s">
        <v>35</v>
      </c>
      <c r="H118" s="233">
        <v>5006</v>
      </c>
      <c r="I118" s="211">
        <f t="shared" si="3"/>
        <v>5006</v>
      </c>
      <c r="J118" s="91" t="str">
        <f>VLOOKUP(G118,'Input keuzevariabelen'!$F:$J,3,FALSE)</f>
        <v>km</v>
      </c>
      <c r="K118" s="91">
        <f>SUMIFS('Input keuzevariabelen'!$I:$I,'Input keuzevariabelen'!$F:$F,Data!G118,'Input keuzevariabelen'!$K:$K,Data!D118)</f>
        <v>200</v>
      </c>
      <c r="L118" s="91" t="str">
        <f>VLOOKUP(G118,'Input keuzevariabelen'!$F:$J,5,FALSE)</f>
        <v>gram CO2/km</v>
      </c>
      <c r="M118" s="209">
        <f t="shared" si="4"/>
        <v>1.0012000000000001</v>
      </c>
      <c r="N118" s="99" t="s">
        <v>147</v>
      </c>
      <c r="O118" s="99"/>
      <c r="P118" s="100"/>
      <c r="Q118" s="91">
        <f>SUMIFS('Input keuzevariabelen'!$P:$P,'Input keuzevariabelen'!$M:$M,Data!G118)</f>
        <v>0</v>
      </c>
      <c r="R118" s="212">
        <f t="shared" si="5"/>
        <v>0</v>
      </c>
    </row>
    <row r="119" spans="2:18" ht="17.399999999999999" thickTop="1" thickBot="1" x14ac:dyDescent="0.35">
      <c r="B119" s="124" t="s">
        <v>148</v>
      </c>
      <c r="C119" s="279">
        <f>VLOOKUP(B119,'Input keuzevariabelen'!$B:$C,2,FALSE)</f>
        <v>0.125</v>
      </c>
      <c r="D119" s="120">
        <v>2021</v>
      </c>
      <c r="E119" s="125" t="s">
        <v>10</v>
      </c>
      <c r="F119" s="250">
        <f>VLOOKUP(G119,'Input keuzevariabelen'!$F:$J,2,FALSE)</f>
        <v>1</v>
      </c>
      <c r="G119" s="96" t="s">
        <v>18</v>
      </c>
      <c r="H119" s="233">
        <f>302328</f>
        <v>302328</v>
      </c>
      <c r="I119" s="211">
        <f t="shared" si="3"/>
        <v>37791</v>
      </c>
      <c r="J119" s="91" t="str">
        <f>VLOOKUP(G119,'Input keuzevariabelen'!$F:$J,3,FALSE)</f>
        <v>m3</v>
      </c>
      <c r="K119" s="91">
        <f>SUMIFS('Input keuzevariabelen'!$I:$I,'Input keuzevariabelen'!$F:$F,Data!G119,'Input keuzevariabelen'!$K:$K,Data!D119)</f>
        <v>1884</v>
      </c>
      <c r="L119" s="91" t="str">
        <f>VLOOKUP(G119,'Input keuzevariabelen'!$F:$J,5,FALSE)</f>
        <v>gram CO2/m3</v>
      </c>
      <c r="M119" s="209">
        <f t="shared" si="4"/>
        <v>71.198244000000003</v>
      </c>
      <c r="N119" s="99" t="s">
        <v>149</v>
      </c>
      <c r="O119" s="99"/>
      <c r="P119" s="100" t="s">
        <v>126</v>
      </c>
      <c r="Q119" s="91">
        <f>SUMIFS('Input keuzevariabelen'!$P:$P,'Input keuzevariabelen'!$M:$M,Data!G119)</f>
        <v>3.1649999999999998E-2</v>
      </c>
      <c r="R119" s="212">
        <f t="shared" si="5"/>
        <v>1196.0851499999999</v>
      </c>
    </row>
    <row r="120" spans="2:18" ht="17.399999999999999" thickTop="1" thickBot="1" x14ac:dyDescent="0.35">
      <c r="B120" s="124" t="s">
        <v>148</v>
      </c>
      <c r="C120" s="279">
        <f>VLOOKUP(B120,'Input keuzevariabelen'!$B:$C,2,FALSE)</f>
        <v>0.125</v>
      </c>
      <c r="D120" s="120">
        <v>2021</v>
      </c>
      <c r="E120" s="125" t="s">
        <v>10</v>
      </c>
      <c r="F120" s="250">
        <f>VLOOKUP(G120,'Input keuzevariabelen'!$F:$J,2,FALSE)</f>
        <v>2</v>
      </c>
      <c r="G120" s="96" t="s">
        <v>27</v>
      </c>
      <c r="H120" s="233">
        <f>23000000</f>
        <v>23000000</v>
      </c>
      <c r="I120" s="211">
        <f t="shared" si="3"/>
        <v>2875000</v>
      </c>
      <c r="J120" s="91" t="str">
        <f>VLOOKUP(G120,'Input keuzevariabelen'!$F:$J,3,FALSE)</f>
        <v>kWh</v>
      </c>
      <c r="K120" s="91">
        <f>SUMIFS('Input keuzevariabelen'!$I:$I,'Input keuzevariabelen'!$F:$F,Data!G120,'Input keuzevariabelen'!$K:$K,Data!D120)</f>
        <v>0</v>
      </c>
      <c r="L120" s="91" t="str">
        <f>VLOOKUP(G120,'Input keuzevariabelen'!$F:$J,5,FALSE)</f>
        <v>gram CO2/kWh</v>
      </c>
      <c r="M120" s="209">
        <f t="shared" si="4"/>
        <v>0</v>
      </c>
      <c r="N120" s="99" t="s">
        <v>149</v>
      </c>
      <c r="O120" s="99"/>
      <c r="P120" s="100" t="s">
        <v>126</v>
      </c>
      <c r="Q120" s="91">
        <f>SUMIFS('Input keuzevariabelen'!$P:$P,'Input keuzevariabelen'!$M:$M,Data!G120)</f>
        <v>5.2199999999999998E-3</v>
      </c>
      <c r="R120" s="212">
        <f t="shared" si="5"/>
        <v>15007.5</v>
      </c>
    </row>
    <row r="121" spans="2:18" ht="17.399999999999999" thickTop="1" thickBot="1" x14ac:dyDescent="0.35">
      <c r="B121" s="124" t="s">
        <v>127</v>
      </c>
      <c r="C121" s="279">
        <f>VLOOKUP(B121,'Input keuzevariabelen'!$B:$C,2,FALSE)</f>
        <v>0.28599999999999998</v>
      </c>
      <c r="D121" s="120">
        <v>2021</v>
      </c>
      <c r="E121" s="125" t="s">
        <v>10</v>
      </c>
      <c r="F121" s="250">
        <f>VLOOKUP(G121,'Input keuzevariabelen'!$F:$J,2,FALSE)</f>
        <v>1</v>
      </c>
      <c r="G121" s="96" t="s">
        <v>18</v>
      </c>
      <c r="H121" s="233">
        <f>13815</f>
        <v>13815</v>
      </c>
      <c r="I121" s="211">
        <f t="shared" si="3"/>
        <v>3951.0899999999997</v>
      </c>
      <c r="J121" s="91" t="str">
        <f>VLOOKUP(G121,'Input keuzevariabelen'!$F:$J,3,FALSE)</f>
        <v>m3</v>
      </c>
      <c r="K121" s="91">
        <f>SUMIFS('Input keuzevariabelen'!$I:$I,'Input keuzevariabelen'!$F:$F,Data!G121,'Input keuzevariabelen'!$K:$K,Data!D121)</f>
        <v>1884</v>
      </c>
      <c r="L121" s="91" t="str">
        <f>VLOOKUP(G121,'Input keuzevariabelen'!$F:$J,5,FALSE)</f>
        <v>gram CO2/m3</v>
      </c>
      <c r="M121" s="209">
        <f t="shared" si="4"/>
        <v>7.44385356</v>
      </c>
      <c r="N121" s="99" t="s">
        <v>128</v>
      </c>
      <c r="O121" s="99"/>
      <c r="P121" s="99" t="s">
        <v>127</v>
      </c>
      <c r="Q121" s="91">
        <f>SUMIFS('Input keuzevariabelen'!$P:$P,'Input keuzevariabelen'!$M:$M,Data!G121)</f>
        <v>3.1649999999999998E-2</v>
      </c>
      <c r="R121" s="212">
        <f t="shared" si="5"/>
        <v>125.05199849999998</v>
      </c>
    </row>
    <row r="122" spans="2:18" ht="17.399999999999999" thickTop="1" thickBot="1" x14ac:dyDescent="0.35">
      <c r="B122" s="124" t="s">
        <v>127</v>
      </c>
      <c r="C122" s="279">
        <f>VLOOKUP(B122,'Input keuzevariabelen'!$B:$C,2,FALSE)</f>
        <v>0.28599999999999998</v>
      </c>
      <c r="D122" s="120">
        <v>2021</v>
      </c>
      <c r="E122" s="125" t="s">
        <v>10</v>
      </c>
      <c r="F122" s="250">
        <f>VLOOKUP(G122,'Input keuzevariabelen'!$F:$J,2,FALSE)</f>
        <v>2</v>
      </c>
      <c r="G122" s="96" t="s">
        <v>25</v>
      </c>
      <c r="H122" s="233">
        <f>253786</f>
        <v>253786</v>
      </c>
      <c r="I122" s="211">
        <f t="shared" si="3"/>
        <v>72582.795999999988</v>
      </c>
      <c r="J122" s="91" t="str">
        <f>VLOOKUP(G122,'Input keuzevariabelen'!$F:$J,3,FALSE)</f>
        <v>kWh</v>
      </c>
      <c r="K122" s="91">
        <f>SUMIFS('Input keuzevariabelen'!$I:$I,'Input keuzevariabelen'!$F:$F,Data!G122,'Input keuzevariabelen'!$K:$K,Data!D122)</f>
        <v>556</v>
      </c>
      <c r="L122" s="91" t="str">
        <f>VLOOKUP(G122,'Input keuzevariabelen'!$F:$J,5,FALSE)</f>
        <v>gram CO2/kWh</v>
      </c>
      <c r="M122" s="209">
        <f t="shared" si="4"/>
        <v>40.356034575999992</v>
      </c>
      <c r="N122" s="99" t="s">
        <v>128</v>
      </c>
      <c r="O122" s="99"/>
      <c r="P122" s="99" t="s">
        <v>127</v>
      </c>
      <c r="Q122" s="91">
        <f>SUMIFS('Input keuzevariabelen'!$P:$P,'Input keuzevariabelen'!$M:$M,Data!G122)</f>
        <v>5.2199999999999998E-3</v>
      </c>
      <c r="R122" s="212">
        <f t="shared" si="5"/>
        <v>378.88219511999995</v>
      </c>
    </row>
    <row r="123" spans="2:18" ht="17.399999999999999" thickTop="1" thickBot="1" x14ac:dyDescent="0.35">
      <c r="B123" s="124" t="s">
        <v>53</v>
      </c>
      <c r="C123" s="279">
        <f>VLOOKUP(B123,'Input keuzevariabelen'!$B:$C,2,FALSE)</f>
        <v>0.111</v>
      </c>
      <c r="D123" s="120">
        <v>2021</v>
      </c>
      <c r="E123" s="125" t="s">
        <v>10</v>
      </c>
      <c r="F123" s="250">
        <f>VLOOKUP(G123,'Input keuzevariabelen'!$F:$J,2,FALSE)</f>
        <v>1</v>
      </c>
      <c r="G123" s="96" t="s">
        <v>18</v>
      </c>
      <c r="H123" s="233">
        <f>161170</f>
        <v>161170</v>
      </c>
      <c r="I123" s="211">
        <f t="shared" si="3"/>
        <v>17889.87</v>
      </c>
      <c r="J123" s="91" t="str">
        <f>VLOOKUP(G123,'Input keuzevariabelen'!$F:$J,3,FALSE)</f>
        <v>m3</v>
      </c>
      <c r="K123" s="91">
        <f>SUMIFS('Input keuzevariabelen'!$I:$I,'Input keuzevariabelen'!$F:$F,Data!G123,'Input keuzevariabelen'!$K:$K,Data!D123)</f>
        <v>1884</v>
      </c>
      <c r="L123" s="91" t="str">
        <f>VLOOKUP(G123,'Input keuzevariabelen'!$F:$J,5,FALSE)</f>
        <v>gram CO2/m3</v>
      </c>
      <c r="M123" s="209">
        <f t="shared" si="4"/>
        <v>33.70451508</v>
      </c>
      <c r="N123" s="99" t="s">
        <v>129</v>
      </c>
      <c r="O123" s="99"/>
      <c r="P123" s="99" t="s">
        <v>53</v>
      </c>
      <c r="Q123" s="91">
        <f>SUMIFS('Input keuzevariabelen'!$P:$P,'Input keuzevariabelen'!$M:$M,Data!G123)</f>
        <v>3.1649999999999998E-2</v>
      </c>
      <c r="R123" s="212">
        <f t="shared" si="5"/>
        <v>566.21438549999993</v>
      </c>
    </row>
    <row r="124" spans="2:18" ht="17.399999999999999" thickTop="1" thickBot="1" x14ac:dyDescent="0.35">
      <c r="B124" s="124" t="s">
        <v>53</v>
      </c>
      <c r="C124" s="279">
        <f>VLOOKUP(B124,'Input keuzevariabelen'!$B:$C,2,FALSE)</f>
        <v>0.111</v>
      </c>
      <c r="D124" s="120">
        <v>2021</v>
      </c>
      <c r="E124" s="125" t="s">
        <v>10</v>
      </c>
      <c r="F124" s="250">
        <f>VLOOKUP(G124,'Input keuzevariabelen'!$F:$J,2,FALSE)</f>
        <v>2</v>
      </c>
      <c r="G124" s="96" t="s">
        <v>27</v>
      </c>
      <c r="H124" s="233">
        <f>1289892</f>
        <v>1289892</v>
      </c>
      <c r="I124" s="211">
        <f t="shared" si="3"/>
        <v>143178.01199999999</v>
      </c>
      <c r="J124" s="91" t="str">
        <f>VLOOKUP(G124,'Input keuzevariabelen'!$F:$J,3,FALSE)</f>
        <v>kWh</v>
      </c>
      <c r="K124" s="91">
        <f>SUMIFS('Input keuzevariabelen'!$I:$I,'Input keuzevariabelen'!$F:$F,Data!G124,'Input keuzevariabelen'!$K:$K,Data!D124)</f>
        <v>0</v>
      </c>
      <c r="L124" s="91" t="str">
        <f>VLOOKUP(G124,'Input keuzevariabelen'!$F:$J,5,FALSE)</f>
        <v>gram CO2/kWh</v>
      </c>
      <c r="M124" s="209">
        <f t="shared" si="4"/>
        <v>0</v>
      </c>
      <c r="N124" s="99" t="s">
        <v>129</v>
      </c>
      <c r="O124" s="99"/>
      <c r="P124" s="99" t="s">
        <v>53</v>
      </c>
      <c r="Q124" s="91">
        <f>SUMIFS('Input keuzevariabelen'!$P:$P,'Input keuzevariabelen'!$M:$M,Data!G124)</f>
        <v>5.2199999999999998E-3</v>
      </c>
      <c r="R124" s="212">
        <f t="shared" si="5"/>
        <v>747.38922263999996</v>
      </c>
    </row>
    <row r="125" spans="2:18" ht="17.399999999999999" thickTop="1" thickBot="1" x14ac:dyDescent="0.35">
      <c r="B125" s="124" t="s">
        <v>53</v>
      </c>
      <c r="C125" s="279">
        <f>VLOOKUP(B125,'Input keuzevariabelen'!$B:$C,2,FALSE)</f>
        <v>0.111</v>
      </c>
      <c r="D125" s="120">
        <v>2021</v>
      </c>
      <c r="E125" s="125" t="s">
        <v>10</v>
      </c>
      <c r="F125" s="250">
        <f>VLOOKUP(G125,'Input keuzevariabelen'!$F:$J,2,FALSE)</f>
        <v>2</v>
      </c>
      <c r="G125" s="96" t="s">
        <v>28</v>
      </c>
      <c r="H125" s="233">
        <f>7291</f>
        <v>7291</v>
      </c>
      <c r="I125" s="211">
        <f t="shared" si="3"/>
        <v>809.30100000000004</v>
      </c>
      <c r="J125" s="91" t="str">
        <f>VLOOKUP(G125,'Input keuzevariabelen'!$F:$J,3,FALSE)</f>
        <v>kWh</v>
      </c>
      <c r="K125" s="91">
        <f>SUMIFS('Input keuzevariabelen'!$I:$I,'Input keuzevariabelen'!$F:$F,Data!G125,'Input keuzevariabelen'!$K:$K,Data!D125)</f>
        <v>556</v>
      </c>
      <c r="L125" s="91" t="str">
        <f>VLOOKUP(G125,'Input keuzevariabelen'!$F:$J,5,FALSE)</f>
        <v>gram CO2/kWh</v>
      </c>
      <c r="M125" s="209">
        <f t="shared" si="4"/>
        <v>0.44997135600000004</v>
      </c>
      <c r="N125" s="99" t="s">
        <v>129</v>
      </c>
      <c r="O125" s="99"/>
      <c r="P125" s="99" t="s">
        <v>53</v>
      </c>
      <c r="Q125" s="91">
        <f>SUMIFS('Input keuzevariabelen'!$P:$P,'Input keuzevariabelen'!$M:$M,Data!G125)</f>
        <v>5.2199999999999998E-3</v>
      </c>
      <c r="R125" s="212">
        <f t="shared" si="5"/>
        <v>4.2245512200000004</v>
      </c>
    </row>
    <row r="126" spans="2:18" ht="17.399999999999999" thickTop="1" thickBot="1" x14ac:dyDescent="0.35">
      <c r="B126" s="124" t="s">
        <v>53</v>
      </c>
      <c r="C126" s="279">
        <f>VLOOKUP(B126,'Input keuzevariabelen'!$B:$C,2,FALSE)</f>
        <v>0.111</v>
      </c>
      <c r="D126" s="120">
        <v>2021</v>
      </c>
      <c r="E126" s="125" t="s">
        <v>10</v>
      </c>
      <c r="F126" s="250">
        <f>VLOOKUP(G126,'Input keuzevariabelen'!$F:$J,2,FALSE)</f>
        <v>1</v>
      </c>
      <c r="G126" s="96" t="s">
        <v>20</v>
      </c>
      <c r="H126" s="233">
        <f>116124</f>
        <v>116124</v>
      </c>
      <c r="I126" s="211">
        <f t="shared" si="3"/>
        <v>12889.764000000001</v>
      </c>
      <c r="J126" s="91" t="str">
        <f>VLOOKUP(G126,'Input keuzevariabelen'!$F:$J,3,FALSE)</f>
        <v>liter</v>
      </c>
      <c r="K126" s="91">
        <f>SUMIFS('Input keuzevariabelen'!$I:$I,'Input keuzevariabelen'!$F:$F,Data!G126,'Input keuzevariabelen'!$K:$K,Data!D126)</f>
        <v>3262</v>
      </c>
      <c r="L126" s="91" t="str">
        <f>VLOOKUP(G126,'Input keuzevariabelen'!$F:$J,5,FALSE)</f>
        <v>gram CO2/liter</v>
      </c>
      <c r="M126" s="209">
        <f t="shared" si="4"/>
        <v>42.046410168000008</v>
      </c>
      <c r="N126" s="99" t="s">
        <v>130</v>
      </c>
      <c r="O126" s="99"/>
      <c r="P126" s="99" t="s">
        <v>53</v>
      </c>
      <c r="Q126" s="91">
        <f>SUMIFS('Input keuzevariabelen'!$P:$P,'Input keuzevariabelen'!$M:$M,Data!G126)</f>
        <v>3.6299999999999999E-2</v>
      </c>
      <c r="R126" s="212">
        <f t="shared" si="5"/>
        <v>467.8984332</v>
      </c>
    </row>
    <row r="127" spans="2:18" ht="17.399999999999999" thickTop="1" thickBot="1" x14ac:dyDescent="0.35">
      <c r="B127" s="124" t="s">
        <v>53</v>
      </c>
      <c r="C127" s="279">
        <f>VLOOKUP(B127,'Input keuzevariabelen'!$B:$C,2,FALSE)</f>
        <v>0.111</v>
      </c>
      <c r="D127" s="120">
        <v>2021</v>
      </c>
      <c r="E127" s="125" t="s">
        <v>10</v>
      </c>
      <c r="F127" s="250">
        <f>VLOOKUP(G127,'Input keuzevariabelen'!$F:$J,2,FALSE)</f>
        <v>1</v>
      </c>
      <c r="G127" s="96" t="s">
        <v>22</v>
      </c>
      <c r="H127" s="233">
        <f>2423</f>
        <v>2423</v>
      </c>
      <c r="I127" s="211">
        <f t="shared" si="3"/>
        <v>268.95300000000003</v>
      </c>
      <c r="J127" s="91" t="str">
        <f>VLOOKUP(G127,'Input keuzevariabelen'!$F:$J,3,FALSE)</f>
        <v>liter</v>
      </c>
      <c r="K127" s="91">
        <f>SUMIFS('Input keuzevariabelen'!$I:$I,'Input keuzevariabelen'!$F:$F,Data!G127,'Input keuzevariabelen'!$K:$K,Data!D127)</f>
        <v>2784</v>
      </c>
      <c r="L127" s="91" t="str">
        <f>VLOOKUP(G127,'Input keuzevariabelen'!$F:$J,5,FALSE)</f>
        <v>gram CO2/liter</v>
      </c>
      <c r="M127" s="209">
        <f t="shared" si="4"/>
        <v>0.74876515200000016</v>
      </c>
      <c r="N127" s="99" t="s">
        <v>130</v>
      </c>
      <c r="O127" s="99"/>
      <c r="P127" s="99" t="s">
        <v>53</v>
      </c>
      <c r="Q127" s="91">
        <f>SUMIFS('Input keuzevariabelen'!$P:$P,'Input keuzevariabelen'!$M:$M,Data!G127)</f>
        <v>3.1E-2</v>
      </c>
      <c r="R127" s="212">
        <f t="shared" si="5"/>
        <v>8.3375430000000001</v>
      </c>
    </row>
    <row r="128" spans="2:18" ht="17.399999999999999" thickTop="1" thickBot="1" x14ac:dyDescent="0.35">
      <c r="B128" s="124" t="s">
        <v>53</v>
      </c>
      <c r="C128" s="279">
        <f>VLOOKUP(B128,'Input keuzevariabelen'!$B:$C,2,FALSE)</f>
        <v>0.111</v>
      </c>
      <c r="D128" s="120">
        <v>2021</v>
      </c>
      <c r="E128" s="125" t="s">
        <v>10</v>
      </c>
      <c r="F128" s="250" t="str">
        <f>VLOOKUP(G128,'Input keuzevariabelen'!$F:$J,2,FALSE)</f>
        <v>bt</v>
      </c>
      <c r="G128" s="96" t="s">
        <v>31</v>
      </c>
      <c r="H128" s="233">
        <f>(31364/0.19)</f>
        <v>165073.68421052632</v>
      </c>
      <c r="I128" s="211">
        <f t="shared" si="3"/>
        <v>18323.178947368422</v>
      </c>
      <c r="J128" s="91" t="str">
        <f>VLOOKUP(G128,'Input keuzevariabelen'!$F:$J,3,FALSE)</f>
        <v>km</v>
      </c>
      <c r="K128" s="91">
        <f>SUMIFS('Input keuzevariabelen'!$I:$I,'Input keuzevariabelen'!$F:$F,Data!G128,'Input keuzevariabelen'!$K:$K,Data!D128)</f>
        <v>195</v>
      </c>
      <c r="L128" s="91" t="str">
        <f>VLOOKUP(G128,'Input keuzevariabelen'!$F:$J,5,FALSE)</f>
        <v>gram CO2/km</v>
      </c>
      <c r="M128" s="209">
        <f t="shared" si="4"/>
        <v>3.5730198947368423</v>
      </c>
      <c r="N128" s="99" t="s">
        <v>129</v>
      </c>
      <c r="O128" s="99"/>
      <c r="P128" s="99" t="s">
        <v>53</v>
      </c>
      <c r="Q128" s="91">
        <f>SUMIFS('Input keuzevariabelen'!$P:$P,'Input keuzevariabelen'!$M:$M,Data!G128)</f>
        <v>0</v>
      </c>
      <c r="R128" s="212">
        <f t="shared" si="5"/>
        <v>0</v>
      </c>
    </row>
    <row r="129" spans="2:18" ht="17.399999999999999" thickTop="1" thickBot="1" x14ac:dyDescent="0.35">
      <c r="B129" s="124" t="s">
        <v>53</v>
      </c>
      <c r="C129" s="279">
        <f>VLOOKUP(B129,'Input keuzevariabelen'!$B:$C,2,FALSE)</f>
        <v>0.111</v>
      </c>
      <c r="D129" s="120">
        <v>2021</v>
      </c>
      <c r="E129" s="125" t="s">
        <v>10</v>
      </c>
      <c r="F129" s="250" t="str">
        <f>VLOOKUP(G129,'Input keuzevariabelen'!$F:$J,2,FALSE)</f>
        <v>bt</v>
      </c>
      <c r="G129" s="96" t="s">
        <v>33</v>
      </c>
      <c r="H129" s="233">
        <f>(1759/0.15)</f>
        <v>11726.666666666668</v>
      </c>
      <c r="I129" s="211">
        <f t="shared" si="3"/>
        <v>1301.6600000000001</v>
      </c>
      <c r="J129" s="91" t="str">
        <f>VLOOKUP(G129,'Input keuzevariabelen'!$F:$J,3,FALSE)</f>
        <v>km</v>
      </c>
      <c r="K129" s="91">
        <f>SUMIFS('Input keuzevariabelen'!$I:$I,'Input keuzevariabelen'!$F:$F,Data!G129,'Input keuzevariabelen'!$K:$K,Data!D129)</f>
        <v>15</v>
      </c>
      <c r="L129" s="91" t="str">
        <f>VLOOKUP(G129,'Input keuzevariabelen'!$F:$J,5,FALSE)</f>
        <v>gram CO2/km</v>
      </c>
      <c r="M129" s="209">
        <f t="shared" si="4"/>
        <v>1.9524900000000001E-2</v>
      </c>
      <c r="N129" s="99" t="s">
        <v>129</v>
      </c>
      <c r="O129" s="99"/>
      <c r="P129" s="99" t="s">
        <v>53</v>
      </c>
      <c r="Q129" s="91">
        <f>SUMIFS('Input keuzevariabelen'!$P:$P,'Input keuzevariabelen'!$M:$M,Data!G129)</f>
        <v>0</v>
      </c>
      <c r="R129" s="212">
        <f t="shared" si="5"/>
        <v>0</v>
      </c>
    </row>
    <row r="130" spans="2:18" ht="17.399999999999999" thickTop="1" thickBot="1" x14ac:dyDescent="0.35">
      <c r="B130" s="124" t="s">
        <v>8</v>
      </c>
      <c r="C130" s="247">
        <f>VLOOKUP(B130,'Input keuzevariabelen'!$B:$C,2,FALSE)</f>
        <v>1</v>
      </c>
      <c r="D130" s="120">
        <v>2022</v>
      </c>
      <c r="E130" s="125" t="s">
        <v>10</v>
      </c>
      <c r="F130" s="250" t="str">
        <f>VLOOKUP(G130,'Input keuzevariabelen'!$F:$J,2,FALSE)</f>
        <v>KPI</v>
      </c>
      <c r="G130" s="96" t="s">
        <v>99</v>
      </c>
      <c r="H130" s="233">
        <f>130853378/1000</f>
        <v>130853.378</v>
      </c>
      <c r="I130" s="211">
        <f t="shared" ref="I130:I177" si="6">H130*C130</f>
        <v>130853.378</v>
      </c>
      <c r="J130" s="252">
        <f>VLOOKUP(G130,'Input keuzevariabelen'!$F:$J,3,FALSE)</f>
        <v>0</v>
      </c>
      <c r="K130" s="252">
        <f>SUMIFS('Input keuzevariabelen'!$I:$I,'Input keuzevariabelen'!$F:$F,Data!G130,'Input keuzevariabelen'!$K:$K,Data!D130)</f>
        <v>0</v>
      </c>
      <c r="L130" s="91">
        <f>VLOOKUP(G130,'Input keuzevariabelen'!$F:$J,5,FALSE)</f>
        <v>0</v>
      </c>
      <c r="M130" s="209">
        <f t="shared" ref="M130:M177" si="7">I130*K130/1000000</f>
        <v>0</v>
      </c>
      <c r="N130" s="99"/>
      <c r="O130" s="99"/>
      <c r="P130" s="100"/>
      <c r="Q130" s="91">
        <f>SUMIFS('Input keuzevariabelen'!$P:$P,'Input keuzevariabelen'!$M:$M,Data!G130)</f>
        <v>0</v>
      </c>
      <c r="R130" s="212">
        <f t="shared" ref="R130:R177" si="8">I130*Q130</f>
        <v>0</v>
      </c>
    </row>
    <row r="131" spans="2:18" ht="17.399999999999999" thickTop="1" thickBot="1" x14ac:dyDescent="0.35">
      <c r="B131" s="124" t="s">
        <v>8</v>
      </c>
      <c r="C131" s="247">
        <f>VLOOKUP(B131,'Input keuzevariabelen'!$B:$C,2,FALSE)</f>
        <v>1</v>
      </c>
      <c r="D131" s="120">
        <v>2022</v>
      </c>
      <c r="E131" s="125" t="s">
        <v>10</v>
      </c>
      <c r="F131" s="250">
        <f>VLOOKUP(G131,'Input keuzevariabelen'!$F:$J,2,FALSE)</f>
        <v>2</v>
      </c>
      <c r="G131" s="96" t="s">
        <v>27</v>
      </c>
      <c r="H131" s="233">
        <v>5683008</v>
      </c>
      <c r="I131" s="211">
        <f t="shared" si="6"/>
        <v>5683008</v>
      </c>
      <c r="J131" s="252" t="str">
        <f>VLOOKUP(G131,'Input keuzevariabelen'!$F:$J,3,FALSE)</f>
        <v>kWh</v>
      </c>
      <c r="K131" s="252">
        <f>SUMIFS('Input keuzevariabelen'!$I:$I,'Input keuzevariabelen'!$F:$F,Data!G131,'Input keuzevariabelen'!$K:$K,Data!D131)</f>
        <v>0</v>
      </c>
      <c r="L131" s="91" t="str">
        <f>VLOOKUP(G131,'Input keuzevariabelen'!$F:$J,5,FALSE)</f>
        <v>gram CO2/kWh</v>
      </c>
      <c r="M131" s="209">
        <f t="shared" si="7"/>
        <v>0</v>
      </c>
      <c r="N131" s="99" t="s">
        <v>150</v>
      </c>
      <c r="O131" s="99"/>
      <c r="P131" s="100" t="s">
        <v>103</v>
      </c>
      <c r="Q131" s="91">
        <f>SUMIFS('Input keuzevariabelen'!$P:$P,'Input keuzevariabelen'!$M:$M,Data!G131)</f>
        <v>5.2199999999999998E-3</v>
      </c>
      <c r="R131" s="212">
        <f t="shared" si="8"/>
        <v>29665.301759999998</v>
      </c>
    </row>
    <row r="132" spans="2:18" ht="17.399999999999999" thickTop="1" thickBot="1" x14ac:dyDescent="0.35">
      <c r="B132" s="124" t="s">
        <v>8</v>
      </c>
      <c r="C132" s="247">
        <f>VLOOKUP(B132,'Input keuzevariabelen'!$B:$C,2,FALSE)</f>
        <v>1</v>
      </c>
      <c r="D132" s="120">
        <v>2022</v>
      </c>
      <c r="E132" s="125" t="s">
        <v>10</v>
      </c>
      <c r="F132" s="250">
        <f>VLOOKUP(G132,'Input keuzevariabelen'!$F:$J,2,FALSE)</f>
        <v>2</v>
      </c>
      <c r="G132" s="96" t="s">
        <v>27</v>
      </c>
      <c r="H132" s="233">
        <v>423705</v>
      </c>
      <c r="I132" s="211">
        <f t="shared" si="6"/>
        <v>423705</v>
      </c>
      <c r="J132" s="252" t="str">
        <f>VLOOKUP(G132,'Input keuzevariabelen'!$F:$J,3,FALSE)</f>
        <v>kWh</v>
      </c>
      <c r="K132" s="252">
        <f>SUMIFS('Input keuzevariabelen'!$I:$I,'Input keuzevariabelen'!$F:$F,Data!G132,'Input keuzevariabelen'!$K:$K,Data!D132)</f>
        <v>0</v>
      </c>
      <c r="L132" s="91" t="str">
        <f>VLOOKUP(G132,'Input keuzevariabelen'!$F:$J,5,FALSE)</f>
        <v>gram CO2/kWh</v>
      </c>
      <c r="M132" s="209">
        <f t="shared" si="7"/>
        <v>0</v>
      </c>
      <c r="N132" s="99" t="s">
        <v>150</v>
      </c>
      <c r="O132" s="99"/>
      <c r="P132" s="100" t="s">
        <v>104</v>
      </c>
      <c r="Q132" s="91">
        <f>SUMIFS('Input keuzevariabelen'!$P:$P,'Input keuzevariabelen'!$M:$M,Data!G132)</f>
        <v>5.2199999999999998E-3</v>
      </c>
      <c r="R132" s="212">
        <f t="shared" si="8"/>
        <v>2211.7401</v>
      </c>
    </row>
    <row r="133" spans="2:18" ht="17.399999999999999" thickTop="1" thickBot="1" x14ac:dyDescent="0.35">
      <c r="B133" s="124" t="s">
        <v>8</v>
      </c>
      <c r="C133" s="247">
        <f>VLOOKUP(B133,'Input keuzevariabelen'!$B:$C,2,FALSE)</f>
        <v>1</v>
      </c>
      <c r="D133" s="120">
        <v>2022</v>
      </c>
      <c r="E133" s="125" t="s">
        <v>10</v>
      </c>
      <c r="F133" s="250">
        <f>VLOOKUP(G133,'Input keuzevariabelen'!$F:$J,2,FALSE)</f>
        <v>2</v>
      </c>
      <c r="G133" s="96" t="s">
        <v>27</v>
      </c>
      <c r="H133" s="233">
        <v>2891445</v>
      </c>
      <c r="I133" s="211">
        <f t="shared" si="6"/>
        <v>2891445</v>
      </c>
      <c r="J133" s="252" t="str">
        <f>VLOOKUP(G133,'Input keuzevariabelen'!$F:$J,3,FALSE)</f>
        <v>kWh</v>
      </c>
      <c r="K133" s="252">
        <f>SUMIFS('Input keuzevariabelen'!$I:$I,'Input keuzevariabelen'!$F:$F,Data!G133,'Input keuzevariabelen'!$K:$K,Data!D133)</f>
        <v>0</v>
      </c>
      <c r="L133" s="91" t="str">
        <f>VLOOKUP(G133,'Input keuzevariabelen'!$F:$J,5,FALSE)</f>
        <v>gram CO2/kWh</v>
      </c>
      <c r="M133" s="209">
        <f t="shared" si="7"/>
        <v>0</v>
      </c>
      <c r="N133" s="99" t="s">
        <v>150</v>
      </c>
      <c r="O133" s="99"/>
      <c r="P133" s="100" t="s">
        <v>105</v>
      </c>
      <c r="Q133" s="91">
        <f>SUMIFS('Input keuzevariabelen'!$P:$P,'Input keuzevariabelen'!$M:$M,Data!G133)</f>
        <v>5.2199999999999998E-3</v>
      </c>
      <c r="R133" s="212">
        <f t="shared" si="8"/>
        <v>15093.3429</v>
      </c>
    </row>
    <row r="134" spans="2:18" ht="17.399999999999999" thickTop="1" thickBot="1" x14ac:dyDescent="0.35">
      <c r="B134" s="124" t="s">
        <v>8</v>
      </c>
      <c r="C134" s="247">
        <f>VLOOKUP(B134,'Input keuzevariabelen'!$B:$C,2,FALSE)</f>
        <v>1</v>
      </c>
      <c r="D134" s="120">
        <v>2022</v>
      </c>
      <c r="E134" s="125" t="s">
        <v>10</v>
      </c>
      <c r="F134" s="250">
        <f>VLOOKUP(G134,'Input keuzevariabelen'!$F:$J,2,FALSE)</f>
        <v>2</v>
      </c>
      <c r="G134" s="96" t="s">
        <v>27</v>
      </c>
      <c r="H134" s="233">
        <v>16675596</v>
      </c>
      <c r="I134" s="211">
        <f t="shared" si="6"/>
        <v>16675596</v>
      </c>
      <c r="J134" s="252" t="str">
        <f>VLOOKUP(G134,'Input keuzevariabelen'!$F:$J,3,FALSE)</f>
        <v>kWh</v>
      </c>
      <c r="K134" s="252">
        <f>SUMIFS('Input keuzevariabelen'!$I:$I,'Input keuzevariabelen'!$F:$F,Data!G134,'Input keuzevariabelen'!$K:$K,Data!D134)</f>
        <v>0</v>
      </c>
      <c r="L134" s="91" t="str">
        <f>VLOOKUP(G134,'Input keuzevariabelen'!$F:$J,5,FALSE)</f>
        <v>gram CO2/kWh</v>
      </c>
      <c r="M134" s="209">
        <f t="shared" si="7"/>
        <v>0</v>
      </c>
      <c r="N134" s="99" t="s">
        <v>150</v>
      </c>
      <c r="O134" s="99"/>
      <c r="P134" s="100" t="s">
        <v>107</v>
      </c>
      <c r="Q134" s="91">
        <f>SUMIFS('Input keuzevariabelen'!$P:$P,'Input keuzevariabelen'!$M:$M,Data!G134)</f>
        <v>5.2199999999999998E-3</v>
      </c>
      <c r="R134" s="212">
        <f t="shared" si="8"/>
        <v>87046.611120000001</v>
      </c>
    </row>
    <row r="135" spans="2:18" ht="17.399999999999999" thickTop="1" thickBot="1" x14ac:dyDescent="0.35">
      <c r="B135" s="124" t="s">
        <v>8</v>
      </c>
      <c r="C135" s="247">
        <f>VLOOKUP(B135,'Input keuzevariabelen'!$B:$C,2,FALSE)</f>
        <v>1</v>
      </c>
      <c r="D135" s="120">
        <v>2022</v>
      </c>
      <c r="E135" s="125" t="s">
        <v>10</v>
      </c>
      <c r="F135" s="250">
        <f>VLOOKUP(G135,'Input keuzevariabelen'!$F:$J,2,FALSE)</f>
        <v>2</v>
      </c>
      <c r="G135" s="96" t="s">
        <v>27</v>
      </c>
      <c r="H135" s="233">
        <v>8796775</v>
      </c>
      <c r="I135" s="211">
        <f t="shared" si="6"/>
        <v>8796775</v>
      </c>
      <c r="J135" s="252" t="str">
        <f>VLOOKUP(G135,'Input keuzevariabelen'!$F:$J,3,FALSE)</f>
        <v>kWh</v>
      </c>
      <c r="K135" s="252">
        <f>SUMIFS('Input keuzevariabelen'!$I:$I,'Input keuzevariabelen'!$F:$F,Data!G135,'Input keuzevariabelen'!$K:$K,Data!D135)</f>
        <v>0</v>
      </c>
      <c r="L135" s="91" t="str">
        <f>VLOOKUP(G135,'Input keuzevariabelen'!$F:$J,5,FALSE)</f>
        <v>gram CO2/kWh</v>
      </c>
      <c r="M135" s="209">
        <f t="shared" si="7"/>
        <v>0</v>
      </c>
      <c r="N135" s="99" t="s">
        <v>150</v>
      </c>
      <c r="O135" s="99"/>
      <c r="P135" s="100" t="s">
        <v>108</v>
      </c>
      <c r="Q135" s="91">
        <f>SUMIFS('Input keuzevariabelen'!$P:$P,'Input keuzevariabelen'!$M:$M,Data!G135)</f>
        <v>5.2199999999999998E-3</v>
      </c>
      <c r="R135" s="212">
        <f t="shared" si="8"/>
        <v>45919.165499999996</v>
      </c>
    </row>
    <row r="136" spans="2:18" ht="17.399999999999999" thickTop="1" thickBot="1" x14ac:dyDescent="0.35">
      <c r="B136" s="124" t="s">
        <v>8</v>
      </c>
      <c r="C136" s="247">
        <f>VLOOKUP(B136,'Input keuzevariabelen'!$B:$C,2,FALSE)</f>
        <v>1</v>
      </c>
      <c r="D136" s="120">
        <v>2022</v>
      </c>
      <c r="E136" s="125" t="s">
        <v>10</v>
      </c>
      <c r="F136" s="250">
        <f>VLOOKUP(G136,'Input keuzevariabelen'!$F:$J,2,FALSE)</f>
        <v>2</v>
      </c>
      <c r="G136" s="96" t="s">
        <v>27</v>
      </c>
      <c r="H136" s="233">
        <v>36623320</v>
      </c>
      <c r="I136" s="211">
        <f t="shared" si="6"/>
        <v>36623320</v>
      </c>
      <c r="J136" s="252" t="str">
        <f>VLOOKUP(G136,'Input keuzevariabelen'!$F:$J,3,FALSE)</f>
        <v>kWh</v>
      </c>
      <c r="K136" s="252">
        <f>SUMIFS('Input keuzevariabelen'!$I:$I,'Input keuzevariabelen'!$F:$F,Data!G136,'Input keuzevariabelen'!$K:$K,Data!D136)</f>
        <v>0</v>
      </c>
      <c r="L136" s="91" t="str">
        <f>VLOOKUP(G136,'Input keuzevariabelen'!$F:$J,5,FALSE)</f>
        <v>gram CO2/kWh</v>
      </c>
      <c r="M136" s="209">
        <f t="shared" si="7"/>
        <v>0</v>
      </c>
      <c r="N136" s="99" t="s">
        <v>150</v>
      </c>
      <c r="O136" s="99"/>
      <c r="P136" s="100" t="s">
        <v>110</v>
      </c>
      <c r="Q136" s="91">
        <f>SUMIFS('Input keuzevariabelen'!$P:$P,'Input keuzevariabelen'!$M:$M,Data!G136)</f>
        <v>5.2199999999999998E-3</v>
      </c>
      <c r="R136" s="212">
        <f t="shared" si="8"/>
        <v>191173.7304</v>
      </c>
    </row>
    <row r="137" spans="2:18" ht="17.399999999999999" thickTop="1" thickBot="1" x14ac:dyDescent="0.35">
      <c r="B137" s="124" t="s">
        <v>8</v>
      </c>
      <c r="C137" s="247">
        <f>VLOOKUP(B137,'Input keuzevariabelen'!$B:$C,2,FALSE)</f>
        <v>1</v>
      </c>
      <c r="D137" s="120">
        <v>2022</v>
      </c>
      <c r="E137" s="125" t="s">
        <v>10</v>
      </c>
      <c r="F137" s="250">
        <f>VLOOKUP(G137,'Input keuzevariabelen'!$F:$J,2,FALSE)</f>
        <v>2</v>
      </c>
      <c r="G137" s="96" t="s">
        <v>27</v>
      </c>
      <c r="H137" s="233">
        <f>29598-7451</f>
        <v>22147</v>
      </c>
      <c r="I137" s="211">
        <f t="shared" si="6"/>
        <v>22147</v>
      </c>
      <c r="J137" s="252" t="str">
        <f>VLOOKUP(G137,'Input keuzevariabelen'!$F:$J,3,FALSE)</f>
        <v>kWh</v>
      </c>
      <c r="K137" s="252">
        <f>SUMIFS('Input keuzevariabelen'!$I:$I,'Input keuzevariabelen'!$F:$F,Data!G137,'Input keuzevariabelen'!$K:$K,Data!D137)</f>
        <v>0</v>
      </c>
      <c r="L137" s="91" t="str">
        <f>VLOOKUP(G137,'Input keuzevariabelen'!$F:$J,5,FALSE)</f>
        <v>gram CO2/kWh</v>
      </c>
      <c r="M137" s="209">
        <f t="shared" si="7"/>
        <v>0</v>
      </c>
      <c r="N137" s="99" t="s">
        <v>150</v>
      </c>
      <c r="O137" s="99"/>
      <c r="P137" s="100" t="s">
        <v>110</v>
      </c>
      <c r="Q137" s="91">
        <f>SUMIFS('Input keuzevariabelen'!$P:$P,'Input keuzevariabelen'!$M:$M,Data!G137)</f>
        <v>5.2199999999999998E-3</v>
      </c>
      <c r="R137" s="212">
        <f t="shared" si="8"/>
        <v>115.60733999999999</v>
      </c>
    </row>
    <row r="138" spans="2:18" ht="17.399999999999999" thickTop="1" thickBot="1" x14ac:dyDescent="0.35">
      <c r="B138" s="124" t="s">
        <v>8</v>
      </c>
      <c r="C138" s="247">
        <f>VLOOKUP(B138,'Input keuzevariabelen'!$B:$C,2,FALSE)</f>
        <v>1</v>
      </c>
      <c r="D138" s="120">
        <v>2022</v>
      </c>
      <c r="E138" s="125" t="s">
        <v>10</v>
      </c>
      <c r="F138" s="250">
        <f>VLOOKUP(G138,'Input keuzevariabelen'!$F:$J,2,FALSE)</f>
        <v>1</v>
      </c>
      <c r="G138" s="96" t="s">
        <v>18</v>
      </c>
      <c r="H138" s="233">
        <v>7183</v>
      </c>
      <c r="I138" s="211">
        <f t="shared" si="6"/>
        <v>7183</v>
      </c>
      <c r="J138" s="252" t="str">
        <f>VLOOKUP(G138,'Input keuzevariabelen'!$F:$J,3,FALSE)</f>
        <v>m3</v>
      </c>
      <c r="K138" s="252">
        <f>SUMIFS('Input keuzevariabelen'!$I:$I,'Input keuzevariabelen'!$F:$F,Data!G138,'Input keuzevariabelen'!$K:$K,Data!D138)</f>
        <v>2085</v>
      </c>
      <c r="L138" s="91" t="str">
        <f>VLOOKUP(G138,'Input keuzevariabelen'!$F:$J,5,FALSE)</f>
        <v>gram CO2/m3</v>
      </c>
      <c r="M138" s="209">
        <f t="shared" si="7"/>
        <v>14.976554999999999</v>
      </c>
      <c r="N138" s="99" t="s">
        <v>150</v>
      </c>
      <c r="O138" s="100"/>
      <c r="P138" s="100" t="s">
        <v>103</v>
      </c>
      <c r="Q138" s="91">
        <f>SUMIFS('Input keuzevariabelen'!$P:$P,'Input keuzevariabelen'!$M:$M,Data!G138)</f>
        <v>3.1649999999999998E-2</v>
      </c>
      <c r="R138" s="212">
        <f t="shared" si="8"/>
        <v>227.34194999999997</v>
      </c>
    </row>
    <row r="139" spans="2:18" ht="17.399999999999999" thickTop="1" thickBot="1" x14ac:dyDescent="0.35">
      <c r="B139" s="124" t="s">
        <v>8</v>
      </c>
      <c r="C139" s="247">
        <f>VLOOKUP(B139,'Input keuzevariabelen'!$B:$C,2,FALSE)</f>
        <v>1</v>
      </c>
      <c r="D139" s="120">
        <v>2022</v>
      </c>
      <c r="E139" s="125" t="s">
        <v>10</v>
      </c>
      <c r="F139" s="250">
        <f>VLOOKUP(G139,'Input keuzevariabelen'!$F:$J,2,FALSE)</f>
        <v>1</v>
      </c>
      <c r="G139" s="96" t="s">
        <v>18</v>
      </c>
      <c r="H139" s="233">
        <v>21572</v>
      </c>
      <c r="I139" s="211">
        <f t="shared" si="6"/>
        <v>21572</v>
      </c>
      <c r="J139" s="252" t="str">
        <f>VLOOKUP(G139,'Input keuzevariabelen'!$F:$J,3,FALSE)</f>
        <v>m3</v>
      </c>
      <c r="K139" s="252">
        <f>SUMIFS('Input keuzevariabelen'!$I:$I,'Input keuzevariabelen'!$F:$F,Data!G139,'Input keuzevariabelen'!$K:$K,Data!D139)</f>
        <v>2085</v>
      </c>
      <c r="L139" s="91" t="str">
        <f>VLOOKUP(G139,'Input keuzevariabelen'!$F:$J,5,FALSE)</f>
        <v>gram CO2/m3</v>
      </c>
      <c r="M139" s="209">
        <f t="shared" si="7"/>
        <v>44.977620000000002</v>
      </c>
      <c r="N139" s="99" t="s">
        <v>150</v>
      </c>
      <c r="O139" s="99"/>
      <c r="P139" s="100" t="s">
        <v>104</v>
      </c>
      <c r="Q139" s="91">
        <f>SUMIFS('Input keuzevariabelen'!$P:$P,'Input keuzevariabelen'!$M:$M,Data!G139)</f>
        <v>3.1649999999999998E-2</v>
      </c>
      <c r="R139" s="212">
        <f t="shared" si="8"/>
        <v>682.75379999999996</v>
      </c>
    </row>
    <row r="140" spans="2:18" ht="17.399999999999999" thickTop="1" thickBot="1" x14ac:dyDescent="0.35">
      <c r="B140" s="124" t="s">
        <v>8</v>
      </c>
      <c r="C140" s="247">
        <f>VLOOKUP(B140,'Input keuzevariabelen'!$B:$C,2,FALSE)</f>
        <v>1</v>
      </c>
      <c r="D140" s="120">
        <v>2022</v>
      </c>
      <c r="E140" s="125" t="s">
        <v>10</v>
      </c>
      <c r="F140" s="250">
        <f>VLOOKUP(G140,'Input keuzevariabelen'!$F:$J,2,FALSE)</f>
        <v>1</v>
      </c>
      <c r="G140" s="96" t="s">
        <v>18</v>
      </c>
      <c r="H140" s="233">
        <v>25337</v>
      </c>
      <c r="I140" s="211">
        <f t="shared" si="6"/>
        <v>25337</v>
      </c>
      <c r="J140" s="252" t="str">
        <f>VLOOKUP(G140,'Input keuzevariabelen'!$F:$J,3,FALSE)</f>
        <v>m3</v>
      </c>
      <c r="K140" s="252">
        <f>SUMIFS('Input keuzevariabelen'!$I:$I,'Input keuzevariabelen'!$F:$F,Data!G140,'Input keuzevariabelen'!$K:$K,Data!D140)</f>
        <v>2085</v>
      </c>
      <c r="L140" s="91" t="str">
        <f>VLOOKUP(G140,'Input keuzevariabelen'!$F:$J,5,FALSE)</f>
        <v>gram CO2/m3</v>
      </c>
      <c r="M140" s="209">
        <f t="shared" si="7"/>
        <v>52.827644999999997</v>
      </c>
      <c r="N140" s="99" t="s">
        <v>150</v>
      </c>
      <c r="O140" s="99"/>
      <c r="P140" s="100" t="s">
        <v>105</v>
      </c>
      <c r="Q140" s="91">
        <f>SUMIFS('Input keuzevariabelen'!$P:$P,'Input keuzevariabelen'!$M:$M,Data!G140)</f>
        <v>3.1649999999999998E-2</v>
      </c>
      <c r="R140" s="212">
        <f t="shared" si="8"/>
        <v>801.91604999999993</v>
      </c>
    </row>
    <row r="141" spans="2:18" ht="17.399999999999999" thickTop="1" thickBot="1" x14ac:dyDescent="0.35">
      <c r="B141" s="124" t="s">
        <v>8</v>
      </c>
      <c r="C141" s="247">
        <f>VLOOKUP(B141,'Input keuzevariabelen'!$B:$C,2,FALSE)</f>
        <v>1</v>
      </c>
      <c r="D141" s="120">
        <v>2022</v>
      </c>
      <c r="E141" s="125" t="s">
        <v>10</v>
      </c>
      <c r="F141" s="250">
        <f>VLOOKUP(G141,'Input keuzevariabelen'!$F:$J,2,FALSE)</f>
        <v>1</v>
      </c>
      <c r="G141" s="96" t="s">
        <v>18</v>
      </c>
      <c r="H141" s="233">
        <v>92909</v>
      </c>
      <c r="I141" s="211">
        <f t="shared" si="6"/>
        <v>92909</v>
      </c>
      <c r="J141" s="252" t="str">
        <f>VLOOKUP(G141,'Input keuzevariabelen'!$F:$J,3,FALSE)</f>
        <v>m3</v>
      </c>
      <c r="K141" s="252">
        <f>SUMIFS('Input keuzevariabelen'!$I:$I,'Input keuzevariabelen'!$F:$F,Data!G141,'Input keuzevariabelen'!$K:$K,Data!D141)</f>
        <v>2085</v>
      </c>
      <c r="L141" s="91" t="str">
        <f>VLOOKUP(G141,'Input keuzevariabelen'!$F:$J,5,FALSE)</f>
        <v>gram CO2/m3</v>
      </c>
      <c r="M141" s="209">
        <f t="shared" si="7"/>
        <v>193.71526499999999</v>
      </c>
      <c r="N141" s="99" t="s">
        <v>150</v>
      </c>
      <c r="O141" s="99"/>
      <c r="P141" s="100" t="s">
        <v>107</v>
      </c>
      <c r="Q141" s="91">
        <f>SUMIFS('Input keuzevariabelen'!$P:$P,'Input keuzevariabelen'!$M:$M,Data!G141)</f>
        <v>3.1649999999999998E-2</v>
      </c>
      <c r="R141" s="212">
        <f t="shared" si="8"/>
        <v>2940.5698499999999</v>
      </c>
    </row>
    <row r="142" spans="2:18" ht="17.399999999999999" thickTop="1" thickBot="1" x14ac:dyDescent="0.35">
      <c r="B142" s="124" t="s">
        <v>8</v>
      </c>
      <c r="C142" s="247">
        <f>VLOOKUP(B142,'Input keuzevariabelen'!$B:$C,2,FALSE)</f>
        <v>1</v>
      </c>
      <c r="D142" s="120">
        <v>2022</v>
      </c>
      <c r="E142" s="125" t="s">
        <v>10</v>
      </c>
      <c r="F142" s="250">
        <f>VLOOKUP(G142,'Input keuzevariabelen'!$F:$J,2,FALSE)</f>
        <v>1</v>
      </c>
      <c r="G142" s="96" t="s">
        <v>18</v>
      </c>
      <c r="H142" s="233">
        <v>477403</v>
      </c>
      <c r="I142" s="211">
        <f t="shared" si="6"/>
        <v>477403</v>
      </c>
      <c r="J142" s="252" t="str">
        <f>VLOOKUP(G142,'Input keuzevariabelen'!$F:$J,3,FALSE)</f>
        <v>m3</v>
      </c>
      <c r="K142" s="252">
        <f>SUMIFS('Input keuzevariabelen'!$I:$I,'Input keuzevariabelen'!$F:$F,Data!G142,'Input keuzevariabelen'!$K:$K,Data!D142)</f>
        <v>2085</v>
      </c>
      <c r="L142" s="91" t="str">
        <f>VLOOKUP(G142,'Input keuzevariabelen'!$F:$J,5,FALSE)</f>
        <v>gram CO2/m3</v>
      </c>
      <c r="M142" s="209">
        <f t="shared" si="7"/>
        <v>995.38525500000003</v>
      </c>
      <c r="N142" s="99" t="s">
        <v>150</v>
      </c>
      <c r="O142" s="99"/>
      <c r="P142" s="100" t="s">
        <v>108</v>
      </c>
      <c r="Q142" s="91">
        <f>SUMIFS('Input keuzevariabelen'!$P:$P,'Input keuzevariabelen'!$M:$M,Data!G142)</f>
        <v>3.1649999999999998E-2</v>
      </c>
      <c r="R142" s="212">
        <f t="shared" si="8"/>
        <v>15109.80495</v>
      </c>
    </row>
    <row r="143" spans="2:18" ht="17.399999999999999" thickTop="1" thickBot="1" x14ac:dyDescent="0.35">
      <c r="B143" s="124" t="s">
        <v>8</v>
      </c>
      <c r="C143" s="247">
        <f>VLOOKUP(B143,'Input keuzevariabelen'!$B:$C,2,FALSE)</f>
        <v>1</v>
      </c>
      <c r="D143" s="120">
        <v>2022</v>
      </c>
      <c r="E143" s="125" t="s">
        <v>10</v>
      </c>
      <c r="F143" s="250">
        <f>VLOOKUP(G143,'Input keuzevariabelen'!$F:$J,2,FALSE)</f>
        <v>1</v>
      </c>
      <c r="G143" s="96" t="s">
        <v>18</v>
      </c>
      <c r="H143" s="233">
        <v>953581</v>
      </c>
      <c r="I143" s="211">
        <f t="shared" si="6"/>
        <v>953581</v>
      </c>
      <c r="J143" s="252" t="str">
        <f>VLOOKUP(G143,'Input keuzevariabelen'!$F:$J,3,FALSE)</f>
        <v>m3</v>
      </c>
      <c r="K143" s="252">
        <f>SUMIFS('Input keuzevariabelen'!$I:$I,'Input keuzevariabelen'!$F:$F,Data!G143,'Input keuzevariabelen'!$K:$K,Data!D143)</f>
        <v>2085</v>
      </c>
      <c r="L143" s="91" t="str">
        <f>VLOOKUP(G143,'Input keuzevariabelen'!$F:$J,5,FALSE)</f>
        <v>gram CO2/m3</v>
      </c>
      <c r="M143" s="209">
        <f t="shared" si="7"/>
        <v>1988.2163849999999</v>
      </c>
      <c r="N143" s="99" t="s">
        <v>150</v>
      </c>
      <c r="O143" s="99"/>
      <c r="P143" s="100" t="s">
        <v>110</v>
      </c>
      <c r="Q143" s="91">
        <f>SUMIFS('Input keuzevariabelen'!$P:$P,'Input keuzevariabelen'!$M:$M,Data!G143)</f>
        <v>3.1649999999999998E-2</v>
      </c>
      <c r="R143" s="212">
        <f t="shared" si="8"/>
        <v>30180.838649999998</v>
      </c>
    </row>
    <row r="144" spans="2:18" ht="17.399999999999999" thickTop="1" thickBot="1" x14ac:dyDescent="0.35">
      <c r="B144" s="124" t="s">
        <v>8</v>
      </c>
      <c r="C144" s="247">
        <f>VLOOKUP(B144,'Input keuzevariabelen'!$B:$C,2,FALSE)</f>
        <v>1</v>
      </c>
      <c r="D144" s="120">
        <v>2022</v>
      </c>
      <c r="E144" s="125" t="s">
        <v>10</v>
      </c>
      <c r="F144" s="250" t="str">
        <f>VLOOKUP(G144,'Input keuzevariabelen'!$F:$J,2,FALSE)</f>
        <v>Memo</v>
      </c>
      <c r="G144" s="96" t="s">
        <v>42</v>
      </c>
      <c r="H144" s="233">
        <v>36</v>
      </c>
      <c r="I144" s="211">
        <f t="shared" si="6"/>
        <v>36</v>
      </c>
      <c r="J144" s="252" t="str">
        <f>VLOOKUP(G144,'Input keuzevariabelen'!$F:$J,3,FALSE)</f>
        <v>m3</v>
      </c>
      <c r="K144" s="252">
        <f>SUMIFS('Input keuzevariabelen'!$I:$I,'Input keuzevariabelen'!$F:$F,Data!G144,'Input keuzevariabelen'!$K:$K,Data!D144)</f>
        <v>1964</v>
      </c>
      <c r="L144" s="91" t="str">
        <f>VLOOKUP(G144,'Input keuzevariabelen'!$F:$J,5,FALSE)</f>
        <v>gram CO2/m3</v>
      </c>
      <c r="M144" s="209">
        <f t="shared" si="7"/>
        <v>7.0704000000000003E-2</v>
      </c>
      <c r="N144" s="99" t="s">
        <v>150</v>
      </c>
      <c r="O144" s="99"/>
      <c r="P144" s="100" t="s">
        <v>105</v>
      </c>
      <c r="Q144" s="91">
        <f>SUMIFS('Input keuzevariabelen'!$P:$P,'Input keuzevariabelen'!$M:$M,Data!G144)</f>
        <v>0</v>
      </c>
      <c r="R144" s="212">
        <f t="shared" si="8"/>
        <v>0</v>
      </c>
    </row>
    <row r="145" spans="2:18" ht="17.399999999999999" thickTop="1" thickBot="1" x14ac:dyDescent="0.35">
      <c r="B145" s="124" t="s">
        <v>8</v>
      </c>
      <c r="C145" s="247">
        <f>VLOOKUP(B145,'Input keuzevariabelen'!$B:$C,2,FALSE)</f>
        <v>1</v>
      </c>
      <c r="D145" s="120">
        <v>2022</v>
      </c>
      <c r="E145" s="125" t="s">
        <v>10</v>
      </c>
      <c r="F145" s="250" t="str">
        <f>VLOOKUP(G145,'Input keuzevariabelen'!$F:$J,2,FALSE)</f>
        <v>Memo</v>
      </c>
      <c r="G145" s="96" t="s">
        <v>42</v>
      </c>
      <c r="H145" s="233">
        <v>4374</v>
      </c>
      <c r="I145" s="211">
        <f t="shared" si="6"/>
        <v>4374</v>
      </c>
      <c r="J145" s="252" t="str">
        <f>VLOOKUP(G145,'Input keuzevariabelen'!$F:$J,3,FALSE)</f>
        <v>m3</v>
      </c>
      <c r="K145" s="252">
        <f>SUMIFS('Input keuzevariabelen'!$I:$I,'Input keuzevariabelen'!$F:$F,Data!G145,'Input keuzevariabelen'!$K:$K,Data!D145)</f>
        <v>1964</v>
      </c>
      <c r="L145" s="91" t="str">
        <f>VLOOKUP(G145,'Input keuzevariabelen'!$F:$J,5,FALSE)</f>
        <v>gram CO2/m3</v>
      </c>
      <c r="M145" s="209">
        <f t="shared" si="7"/>
        <v>8.5905360000000002</v>
      </c>
      <c r="N145" s="99" t="s">
        <v>150</v>
      </c>
      <c r="O145" s="99"/>
      <c r="P145" s="100" t="s">
        <v>107</v>
      </c>
      <c r="Q145" s="91">
        <f>SUMIFS('Input keuzevariabelen'!$P:$P,'Input keuzevariabelen'!$M:$M,Data!G145)</f>
        <v>0</v>
      </c>
      <c r="R145" s="212">
        <f t="shared" si="8"/>
        <v>0</v>
      </c>
    </row>
    <row r="146" spans="2:18" ht="17.399999999999999" thickTop="1" thickBot="1" x14ac:dyDescent="0.35">
      <c r="B146" s="124" t="s">
        <v>8</v>
      </c>
      <c r="C146" s="247">
        <f>VLOOKUP(B146,'Input keuzevariabelen'!$B:$C,2,FALSE)</f>
        <v>1</v>
      </c>
      <c r="D146" s="120">
        <v>2022</v>
      </c>
      <c r="E146" s="125" t="s">
        <v>10</v>
      </c>
      <c r="F146" s="250" t="str">
        <f>VLOOKUP(G146,'Input keuzevariabelen'!$F:$J,2,FALSE)</f>
        <v>Memo</v>
      </c>
      <c r="G146" s="96" t="s">
        <v>42</v>
      </c>
      <c r="H146" s="233">
        <v>138465</v>
      </c>
      <c r="I146" s="211">
        <f t="shared" si="6"/>
        <v>138465</v>
      </c>
      <c r="J146" s="252" t="str">
        <f>VLOOKUP(G146,'Input keuzevariabelen'!$F:$J,3,FALSE)</f>
        <v>m3</v>
      </c>
      <c r="K146" s="252">
        <f>SUMIFS('Input keuzevariabelen'!$I:$I,'Input keuzevariabelen'!$F:$F,Data!G146,'Input keuzevariabelen'!$K:$K,Data!D146)</f>
        <v>1964</v>
      </c>
      <c r="L146" s="91" t="str">
        <f>VLOOKUP(G146,'Input keuzevariabelen'!$F:$J,5,FALSE)</f>
        <v>gram CO2/m3</v>
      </c>
      <c r="M146" s="209">
        <f t="shared" si="7"/>
        <v>271.94526000000002</v>
      </c>
      <c r="N146" s="99" t="s">
        <v>150</v>
      </c>
      <c r="O146" s="99"/>
      <c r="P146" s="100" t="s">
        <v>108</v>
      </c>
      <c r="Q146" s="91">
        <f>SUMIFS('Input keuzevariabelen'!$P:$P,'Input keuzevariabelen'!$M:$M,Data!G146)</f>
        <v>0</v>
      </c>
      <c r="R146" s="212">
        <f t="shared" si="8"/>
        <v>0</v>
      </c>
    </row>
    <row r="147" spans="2:18" ht="17.399999999999999" thickTop="1" thickBot="1" x14ac:dyDescent="0.35">
      <c r="B147" s="124" t="s">
        <v>8</v>
      </c>
      <c r="C147" s="247">
        <f>VLOOKUP(B147,'Input keuzevariabelen'!$B:$C,2,FALSE)</f>
        <v>1</v>
      </c>
      <c r="D147" s="120">
        <v>2022</v>
      </c>
      <c r="E147" s="125" t="s">
        <v>10</v>
      </c>
      <c r="F147" s="250" t="str">
        <f>VLOOKUP(G147,'Input keuzevariabelen'!$F:$J,2,FALSE)</f>
        <v>Memo</v>
      </c>
      <c r="G147" s="96" t="s">
        <v>42</v>
      </c>
      <c r="H147" s="233">
        <v>64442</v>
      </c>
      <c r="I147" s="211">
        <f t="shared" si="6"/>
        <v>64442</v>
      </c>
      <c r="J147" s="252" t="str">
        <f>VLOOKUP(G147,'Input keuzevariabelen'!$F:$J,3,FALSE)</f>
        <v>m3</v>
      </c>
      <c r="K147" s="252">
        <f>SUMIFS('Input keuzevariabelen'!$I:$I,'Input keuzevariabelen'!$F:$F,Data!G147,'Input keuzevariabelen'!$K:$K,Data!D147)</f>
        <v>1964</v>
      </c>
      <c r="L147" s="91" t="str">
        <f>VLOOKUP(G147,'Input keuzevariabelen'!$F:$J,5,FALSE)</f>
        <v>gram CO2/m3</v>
      </c>
      <c r="M147" s="209">
        <f t="shared" si="7"/>
        <v>126.564088</v>
      </c>
      <c r="N147" s="99" t="s">
        <v>150</v>
      </c>
      <c r="O147" s="99"/>
      <c r="P147" s="100" t="s">
        <v>110</v>
      </c>
      <c r="Q147" s="91">
        <f>SUMIFS('Input keuzevariabelen'!$P:$P,'Input keuzevariabelen'!$M:$M,Data!G147)</f>
        <v>0</v>
      </c>
      <c r="R147" s="212">
        <f t="shared" si="8"/>
        <v>0</v>
      </c>
    </row>
    <row r="148" spans="2:18" ht="17.399999999999999" thickTop="1" thickBot="1" x14ac:dyDescent="0.35">
      <c r="B148" s="124" t="s">
        <v>8</v>
      </c>
      <c r="C148" s="247">
        <f>VLOOKUP(B148,'Input keuzevariabelen'!$B:$C,2,FALSE)</f>
        <v>1</v>
      </c>
      <c r="D148" s="120">
        <v>2022</v>
      </c>
      <c r="E148" s="125" t="s">
        <v>10</v>
      </c>
      <c r="F148" s="250" t="str">
        <f>VLOOKUP(G148,'Input keuzevariabelen'!$F:$J,2,FALSE)</f>
        <v>Memo</v>
      </c>
      <c r="G148" s="96" t="s">
        <v>40</v>
      </c>
      <c r="H148" s="233">
        <v>53311</v>
      </c>
      <c r="I148" s="211">
        <f t="shared" si="6"/>
        <v>53311</v>
      </c>
      <c r="J148" s="252" t="str">
        <f>VLOOKUP(G148,'Input keuzevariabelen'!$F:$J,3,FALSE)</f>
        <v>m3</v>
      </c>
      <c r="K148" s="252">
        <f>SUMIFS('Input keuzevariabelen'!$I:$I,'Input keuzevariabelen'!$F:$F,Data!G148,'Input keuzevariabelen'!$K:$K,Data!D148)</f>
        <v>1964</v>
      </c>
      <c r="L148" s="91" t="str">
        <f>VLOOKUP(G148,'Input keuzevariabelen'!$F:$J,5,FALSE)</f>
        <v>gram CO2/m3</v>
      </c>
      <c r="M148" s="209">
        <f t="shared" si="7"/>
        <v>104.702804</v>
      </c>
      <c r="N148" s="99" t="s">
        <v>150</v>
      </c>
      <c r="O148" s="99"/>
      <c r="P148" s="100" t="s">
        <v>105</v>
      </c>
      <c r="Q148" s="91">
        <f>SUMIFS('Input keuzevariabelen'!$P:$P,'Input keuzevariabelen'!$M:$M,Data!G148)</f>
        <v>0</v>
      </c>
      <c r="R148" s="212">
        <f t="shared" si="8"/>
        <v>0</v>
      </c>
    </row>
    <row r="149" spans="2:18" ht="17.399999999999999" thickTop="1" thickBot="1" x14ac:dyDescent="0.35">
      <c r="B149" s="124" t="s">
        <v>8</v>
      </c>
      <c r="C149" s="247">
        <f>VLOOKUP(B149,'Input keuzevariabelen'!$B:$C,2,FALSE)</f>
        <v>1</v>
      </c>
      <c r="D149" s="120">
        <v>2022</v>
      </c>
      <c r="E149" s="125" t="s">
        <v>10</v>
      </c>
      <c r="F149" s="250" t="str">
        <f>VLOOKUP(G149,'Input keuzevariabelen'!$F:$J,2,FALSE)</f>
        <v>Memo</v>
      </c>
      <c r="G149" s="96" t="s">
        <v>40</v>
      </c>
      <c r="H149" s="233">
        <v>4804</v>
      </c>
      <c r="I149" s="211">
        <f t="shared" si="6"/>
        <v>4804</v>
      </c>
      <c r="J149" s="252" t="str">
        <f>VLOOKUP(G149,'Input keuzevariabelen'!$F:$J,3,FALSE)</f>
        <v>m3</v>
      </c>
      <c r="K149" s="252">
        <f>SUMIFS('Input keuzevariabelen'!$I:$I,'Input keuzevariabelen'!$F:$F,Data!G149,'Input keuzevariabelen'!$K:$K,Data!D149)</f>
        <v>1964</v>
      </c>
      <c r="L149" s="91" t="str">
        <f>VLOOKUP(G149,'Input keuzevariabelen'!$F:$J,5,FALSE)</f>
        <v>gram CO2/m3</v>
      </c>
      <c r="M149" s="209">
        <f t="shared" si="7"/>
        <v>9.4350559999999994</v>
      </c>
      <c r="N149" s="99" t="s">
        <v>150</v>
      </c>
      <c r="O149" s="99"/>
      <c r="P149" s="100" t="s">
        <v>107</v>
      </c>
      <c r="Q149" s="91">
        <f>SUMIFS('Input keuzevariabelen'!$P:$P,'Input keuzevariabelen'!$M:$M,Data!G149)</f>
        <v>0</v>
      </c>
      <c r="R149" s="212">
        <f t="shared" si="8"/>
        <v>0</v>
      </c>
    </row>
    <row r="150" spans="2:18" ht="17.399999999999999" thickTop="1" thickBot="1" x14ac:dyDescent="0.35">
      <c r="B150" s="124" t="s">
        <v>8</v>
      </c>
      <c r="C150" s="247">
        <f>VLOOKUP(B150,'Input keuzevariabelen'!$B:$C,2,FALSE)</f>
        <v>1</v>
      </c>
      <c r="D150" s="120">
        <v>2022</v>
      </c>
      <c r="E150" s="125" t="s">
        <v>10</v>
      </c>
      <c r="F150" s="250" t="str">
        <f>VLOOKUP(G150,'Input keuzevariabelen'!$F:$J,2,FALSE)</f>
        <v>Memo</v>
      </c>
      <c r="G150" s="96" t="s">
        <v>40</v>
      </c>
      <c r="H150" s="233">
        <v>266872</v>
      </c>
      <c r="I150" s="211">
        <f t="shared" si="6"/>
        <v>266872</v>
      </c>
      <c r="J150" s="252" t="str">
        <f>VLOOKUP(G150,'Input keuzevariabelen'!$F:$J,3,FALSE)</f>
        <v>m3</v>
      </c>
      <c r="K150" s="252">
        <f>SUMIFS('Input keuzevariabelen'!$I:$I,'Input keuzevariabelen'!$F:$F,Data!G150,'Input keuzevariabelen'!$K:$K,Data!D150)</f>
        <v>1964</v>
      </c>
      <c r="L150" s="91" t="str">
        <f>VLOOKUP(G150,'Input keuzevariabelen'!$F:$J,5,FALSE)</f>
        <v>gram CO2/m3</v>
      </c>
      <c r="M150" s="209">
        <f t="shared" si="7"/>
        <v>524.13660800000002</v>
      </c>
      <c r="N150" s="99" t="s">
        <v>150</v>
      </c>
      <c r="O150" s="99"/>
      <c r="P150" s="100" t="s">
        <v>110</v>
      </c>
      <c r="Q150" s="91">
        <f>SUMIFS('Input keuzevariabelen'!$P:$P,'Input keuzevariabelen'!$M:$M,Data!G150)</f>
        <v>0</v>
      </c>
      <c r="R150" s="212">
        <f t="shared" si="8"/>
        <v>0</v>
      </c>
    </row>
    <row r="151" spans="2:18" ht="17.399999999999999" thickTop="1" thickBot="1" x14ac:dyDescent="0.35">
      <c r="B151" s="124" t="s">
        <v>8</v>
      </c>
      <c r="C151" s="247">
        <f>VLOOKUP(B151,'Input keuzevariabelen'!$B:$C,2,FALSE)</f>
        <v>1</v>
      </c>
      <c r="D151" s="120">
        <v>2022</v>
      </c>
      <c r="E151" s="125" t="s">
        <v>10</v>
      </c>
      <c r="F151" s="250">
        <f>VLOOKUP(G151,'Input keuzevariabelen'!$F:$J,2,FALSE)</f>
        <v>1</v>
      </c>
      <c r="G151" s="96" t="s">
        <v>20</v>
      </c>
      <c r="H151" s="233">
        <v>5000</v>
      </c>
      <c r="I151" s="211">
        <f t="shared" si="6"/>
        <v>5000</v>
      </c>
      <c r="J151" s="252" t="str">
        <f>VLOOKUP(G151,'Input keuzevariabelen'!$F:$J,3,FALSE)</f>
        <v>liter</v>
      </c>
      <c r="K151" s="252">
        <f>SUMIFS('Input keuzevariabelen'!$I:$I,'Input keuzevariabelen'!$F:$F,Data!G151,'Input keuzevariabelen'!$K:$K,Data!D151)</f>
        <v>3262</v>
      </c>
      <c r="L151" s="91" t="str">
        <f>VLOOKUP(G151,'Input keuzevariabelen'!$F:$J,5,FALSE)</f>
        <v>gram CO2/liter</v>
      </c>
      <c r="M151" s="209">
        <f t="shared" si="7"/>
        <v>16.309999999999999</v>
      </c>
      <c r="N151" s="99" t="s">
        <v>150</v>
      </c>
      <c r="O151" s="99"/>
      <c r="P151" s="100" t="s">
        <v>110</v>
      </c>
      <c r="Q151" s="91">
        <f>SUMIFS('Input keuzevariabelen'!$P:$P,'Input keuzevariabelen'!$M:$M,Data!G151)</f>
        <v>3.6299999999999999E-2</v>
      </c>
      <c r="R151" s="212">
        <f t="shared" si="8"/>
        <v>181.5</v>
      </c>
    </row>
    <row r="152" spans="2:18" ht="17.399999999999999" thickTop="1" thickBot="1" x14ac:dyDescent="0.35">
      <c r="B152" s="124" t="s">
        <v>8</v>
      </c>
      <c r="C152" s="247">
        <f>VLOOKUP(B152,'Input keuzevariabelen'!$B:$C,2,FALSE)</f>
        <v>1</v>
      </c>
      <c r="D152" s="120">
        <v>2022</v>
      </c>
      <c r="E152" s="125" t="s">
        <v>10</v>
      </c>
      <c r="F152" s="250">
        <f>VLOOKUP(G152,'Input keuzevariabelen'!$F:$J,2,FALSE)</f>
        <v>1</v>
      </c>
      <c r="G152" s="96" t="s">
        <v>22</v>
      </c>
      <c r="H152" s="233">
        <v>30910</v>
      </c>
      <c r="I152" s="211">
        <f t="shared" si="6"/>
        <v>30910</v>
      </c>
      <c r="J152" s="252" t="str">
        <f>VLOOKUP(G152,'Input keuzevariabelen'!$F:$J,3,FALSE)</f>
        <v>liter</v>
      </c>
      <c r="K152" s="252">
        <f>SUMIFS('Input keuzevariabelen'!$I:$I,'Input keuzevariabelen'!$F:$F,Data!G152,'Input keuzevariabelen'!$K:$K,Data!D152)</f>
        <v>2784</v>
      </c>
      <c r="L152" s="91" t="str">
        <f>VLOOKUP(G152,'Input keuzevariabelen'!$F:$J,5,FALSE)</f>
        <v>gram CO2/liter</v>
      </c>
      <c r="M152" s="209">
        <f t="shared" si="7"/>
        <v>86.053439999999995</v>
      </c>
      <c r="N152" s="99" t="s">
        <v>151</v>
      </c>
      <c r="O152" s="99"/>
      <c r="P152" s="100"/>
      <c r="Q152" s="91">
        <f>SUMIFS('Input keuzevariabelen'!$P:$P,'Input keuzevariabelen'!$M:$M,Data!G152)</f>
        <v>3.1E-2</v>
      </c>
      <c r="R152" s="212">
        <f t="shared" si="8"/>
        <v>958.21</v>
      </c>
    </row>
    <row r="153" spans="2:18" ht="17.399999999999999" thickTop="1" thickBot="1" x14ac:dyDescent="0.35">
      <c r="B153" s="124" t="s">
        <v>8</v>
      </c>
      <c r="C153" s="247">
        <f>VLOOKUP(B153,'Input keuzevariabelen'!$B:$C,2,FALSE)</f>
        <v>1</v>
      </c>
      <c r="D153" s="120">
        <v>2022</v>
      </c>
      <c r="E153" s="125" t="s">
        <v>10</v>
      </c>
      <c r="F153" s="250">
        <f>VLOOKUP(G153,'Input keuzevariabelen'!$F:$J,2,FALSE)</f>
        <v>1</v>
      </c>
      <c r="G153" s="96" t="s">
        <v>20</v>
      </c>
      <c r="H153" s="233">
        <v>25360</v>
      </c>
      <c r="I153" s="211">
        <f t="shared" si="6"/>
        <v>25360</v>
      </c>
      <c r="J153" s="252" t="str">
        <f>VLOOKUP(G153,'Input keuzevariabelen'!$F:$J,3,FALSE)</f>
        <v>liter</v>
      </c>
      <c r="K153" s="252">
        <f>SUMIFS('Input keuzevariabelen'!$I:$I,'Input keuzevariabelen'!$F:$F,Data!G153,'Input keuzevariabelen'!$K:$K,Data!D153)</f>
        <v>3262</v>
      </c>
      <c r="L153" s="91" t="str">
        <f>VLOOKUP(G153,'Input keuzevariabelen'!$F:$J,5,FALSE)</f>
        <v>gram CO2/liter</v>
      </c>
      <c r="M153" s="209">
        <f t="shared" si="7"/>
        <v>82.724320000000006</v>
      </c>
      <c r="N153" s="99" t="s">
        <v>151</v>
      </c>
      <c r="O153" s="99"/>
      <c r="P153" s="100"/>
      <c r="Q153" s="91">
        <f>SUMIFS('Input keuzevariabelen'!$P:$P,'Input keuzevariabelen'!$M:$M,Data!G153)</f>
        <v>3.6299999999999999E-2</v>
      </c>
      <c r="R153" s="212">
        <f t="shared" si="8"/>
        <v>920.56799999999998</v>
      </c>
    </row>
    <row r="154" spans="2:18" ht="17.399999999999999" thickTop="1" thickBot="1" x14ac:dyDescent="0.35">
      <c r="B154" s="124" t="s">
        <v>8</v>
      </c>
      <c r="C154" s="247">
        <f>VLOOKUP(B154,'Input keuzevariabelen'!$B:$C,2,FALSE)</f>
        <v>1</v>
      </c>
      <c r="D154" s="120">
        <v>2022</v>
      </c>
      <c r="E154" s="125" t="s">
        <v>10</v>
      </c>
      <c r="F154" s="250">
        <f>VLOOKUP(G154,'Input keuzevariabelen'!$F:$J,2,FALSE)</f>
        <v>1</v>
      </c>
      <c r="G154" s="96" t="s">
        <v>152</v>
      </c>
      <c r="H154" s="233">
        <v>36450</v>
      </c>
      <c r="I154" s="211">
        <f t="shared" si="6"/>
        <v>36450</v>
      </c>
      <c r="J154" s="252" t="str">
        <f>VLOOKUP(G154,'Input keuzevariabelen'!$F:$J,3,FALSE)</f>
        <v>km</v>
      </c>
      <c r="K154" s="252">
        <f>SUMIFS('Input keuzevariabelen'!$I:$I,'Input keuzevariabelen'!$F:$F,Data!G154,'Input keuzevariabelen'!$K:$K,Data!D154)</f>
        <v>0</v>
      </c>
      <c r="L154" s="91" t="str">
        <f>VLOOKUP(G154,'Input keuzevariabelen'!$F:$J,5,FALSE)</f>
        <v>gram CO2/km</v>
      </c>
      <c r="M154" s="209">
        <f t="shared" si="7"/>
        <v>0</v>
      </c>
      <c r="N154" s="99" t="s">
        <v>151</v>
      </c>
      <c r="O154" s="99"/>
      <c r="P154" s="100" t="s">
        <v>153</v>
      </c>
      <c r="Q154" s="91">
        <f>SUMIFS('Input keuzevariabelen'!$P:$P,'Input keuzevariabelen'!$M:$M,Data!G154)</f>
        <v>0</v>
      </c>
      <c r="R154" s="212">
        <f t="shared" si="8"/>
        <v>0</v>
      </c>
    </row>
    <row r="155" spans="2:18" ht="17.399999999999999" thickTop="1" thickBot="1" x14ac:dyDescent="0.35">
      <c r="B155" s="124" t="s">
        <v>8</v>
      </c>
      <c r="C155" s="247">
        <f>VLOOKUP(B155,'Input keuzevariabelen'!$B:$C,2,FALSE)</f>
        <v>1</v>
      </c>
      <c r="D155" s="120">
        <v>2022</v>
      </c>
      <c r="E155" s="125" t="s">
        <v>10</v>
      </c>
      <c r="F155" s="250" t="str">
        <f>VLOOKUP(G155,'Input keuzevariabelen'!$F:$J,2,FALSE)</f>
        <v>bt</v>
      </c>
      <c r="G155" s="96" t="s">
        <v>31</v>
      </c>
      <c r="H155" s="233">
        <v>268460</v>
      </c>
      <c r="I155" s="211">
        <f t="shared" si="6"/>
        <v>268460</v>
      </c>
      <c r="J155" s="252" t="str">
        <f>VLOOKUP(G155,'Input keuzevariabelen'!$F:$J,3,FALSE)</f>
        <v>km</v>
      </c>
      <c r="K155" s="252">
        <f>SUMIFS('Input keuzevariabelen'!$I:$I,'Input keuzevariabelen'!$F:$F,Data!G155,'Input keuzevariabelen'!$K:$K,Data!D155)</f>
        <v>193</v>
      </c>
      <c r="L155" s="91" t="str">
        <f>VLOOKUP(G155,'Input keuzevariabelen'!$F:$J,5,FALSE)</f>
        <v>gram CO2/km</v>
      </c>
      <c r="M155" s="209">
        <f t="shared" si="7"/>
        <v>51.812779999999997</v>
      </c>
      <c r="N155" s="99" t="s">
        <v>154</v>
      </c>
      <c r="O155" s="99"/>
      <c r="P155" s="100"/>
      <c r="Q155" s="91">
        <f>SUMIFS('Input keuzevariabelen'!$P:$P,'Input keuzevariabelen'!$M:$M,Data!G155)</f>
        <v>0</v>
      </c>
      <c r="R155" s="212">
        <f t="shared" si="8"/>
        <v>0</v>
      </c>
    </row>
    <row r="156" spans="2:18" ht="17.399999999999999" thickTop="1" thickBot="1" x14ac:dyDescent="0.35">
      <c r="B156" s="124" t="s">
        <v>8</v>
      </c>
      <c r="C156" s="247">
        <f>VLOOKUP(B156,'Input keuzevariabelen'!$B:$C,2,FALSE)</f>
        <v>1</v>
      </c>
      <c r="D156" s="120">
        <v>2022</v>
      </c>
      <c r="E156" s="125" t="s">
        <v>10</v>
      </c>
      <c r="F156" s="250" t="str">
        <f>VLOOKUP(G156,'Input keuzevariabelen'!$F:$J,2,FALSE)</f>
        <v>bt</v>
      </c>
      <c r="G156" s="96" t="s">
        <v>33</v>
      </c>
      <c r="H156" s="233">
        <v>342839</v>
      </c>
      <c r="I156" s="211">
        <f t="shared" si="6"/>
        <v>342839</v>
      </c>
      <c r="J156" s="252" t="str">
        <f>VLOOKUP(G156,'Input keuzevariabelen'!$F:$J,3,FALSE)</f>
        <v>km</v>
      </c>
      <c r="K156" s="252">
        <f>SUMIFS('Input keuzevariabelen'!$I:$I,'Input keuzevariabelen'!$F:$F,Data!G156,'Input keuzevariabelen'!$K:$K,Data!D156)</f>
        <v>15</v>
      </c>
      <c r="L156" s="91" t="str">
        <f>VLOOKUP(G156,'Input keuzevariabelen'!$F:$J,5,FALSE)</f>
        <v>gram CO2/km</v>
      </c>
      <c r="M156" s="209">
        <f t="shared" si="7"/>
        <v>5.1425850000000004</v>
      </c>
      <c r="N156" s="99" t="s">
        <v>151</v>
      </c>
      <c r="O156" s="99"/>
      <c r="P156" s="100"/>
      <c r="Q156" s="91">
        <f>SUMIFS('Input keuzevariabelen'!$P:$P,'Input keuzevariabelen'!$M:$M,Data!G156)</f>
        <v>0</v>
      </c>
      <c r="R156" s="212">
        <f t="shared" si="8"/>
        <v>0</v>
      </c>
    </row>
    <row r="157" spans="2:18" ht="17.399999999999999" thickTop="1" thickBot="1" x14ac:dyDescent="0.35">
      <c r="B157" s="124" t="s">
        <v>8</v>
      </c>
      <c r="C157" s="247">
        <f>VLOOKUP(B157,'Input keuzevariabelen'!$B:$C,2,FALSE)</f>
        <v>1</v>
      </c>
      <c r="D157" s="120">
        <v>2022</v>
      </c>
      <c r="E157" s="125" t="s">
        <v>10</v>
      </c>
      <c r="F157" s="250" t="str">
        <f>VLOOKUP(G157,'Input keuzevariabelen'!$F:$J,2,FALSE)</f>
        <v>bt</v>
      </c>
      <c r="G157" s="96" t="s">
        <v>36</v>
      </c>
      <c r="H157" s="233">
        <v>303020</v>
      </c>
      <c r="I157" s="211">
        <f t="shared" si="6"/>
        <v>303020</v>
      </c>
      <c r="J157" s="252" t="str">
        <f>VLOOKUP(G157,'Input keuzevariabelen'!$F:$J,3,FALSE)</f>
        <v>km</v>
      </c>
      <c r="K157" s="252">
        <f>SUMIFS('Input keuzevariabelen'!$I:$I,'Input keuzevariabelen'!$F:$F,Data!G157,'Input keuzevariabelen'!$K:$K,Data!D157)</f>
        <v>157</v>
      </c>
      <c r="L157" s="91" t="str">
        <f>VLOOKUP(G157,'Input keuzevariabelen'!$F:$J,5,FALSE)</f>
        <v>gram CO2/km</v>
      </c>
      <c r="M157" s="209">
        <f t="shared" si="7"/>
        <v>47.57414</v>
      </c>
      <c r="N157" s="99" t="s">
        <v>151</v>
      </c>
      <c r="O157" s="99"/>
      <c r="P157" s="100"/>
      <c r="Q157" s="91">
        <f>SUMIFS('Input keuzevariabelen'!$P:$P,'Input keuzevariabelen'!$M:$M,Data!G157)</f>
        <v>0</v>
      </c>
      <c r="R157" s="212">
        <f t="shared" si="8"/>
        <v>0</v>
      </c>
    </row>
    <row r="158" spans="2:18" ht="17.399999999999999" thickTop="1" thickBot="1" x14ac:dyDescent="0.35">
      <c r="B158" s="124" t="s">
        <v>148</v>
      </c>
      <c r="C158" s="247">
        <f>VLOOKUP(B158,'Input keuzevariabelen'!$B:$C,2,FALSE)</f>
        <v>0.125</v>
      </c>
      <c r="D158" s="120">
        <v>2022</v>
      </c>
      <c r="E158" s="125" t="s">
        <v>10</v>
      </c>
      <c r="F158" s="250">
        <f>VLOOKUP(G158,'Input keuzevariabelen'!$F:$J,2,FALSE)</f>
        <v>1</v>
      </c>
      <c r="G158" s="96" t="s">
        <v>18</v>
      </c>
      <c r="H158" s="233">
        <v>265987</v>
      </c>
      <c r="I158" s="211">
        <f t="shared" si="6"/>
        <v>33248.375</v>
      </c>
      <c r="J158" s="252" t="str">
        <f>VLOOKUP(G158,'Input keuzevariabelen'!$F:$J,3,FALSE)</f>
        <v>m3</v>
      </c>
      <c r="K158" s="252">
        <f>SUMIFS('Input keuzevariabelen'!$I:$I,'Input keuzevariabelen'!$F:$F,Data!G158,'Input keuzevariabelen'!$K:$K,Data!D158)</f>
        <v>2085</v>
      </c>
      <c r="L158" s="91" t="str">
        <f>VLOOKUP(G158,'Input keuzevariabelen'!$F:$J,5,FALSE)</f>
        <v>gram CO2/m3</v>
      </c>
      <c r="M158" s="209">
        <f t="shared" si="7"/>
        <v>69.322861875000001</v>
      </c>
      <c r="N158" s="99" t="s">
        <v>155</v>
      </c>
      <c r="O158" s="99"/>
      <c r="P158" s="100" t="s">
        <v>126</v>
      </c>
      <c r="Q158" s="91">
        <f>SUMIFS('Input keuzevariabelen'!$P:$P,'Input keuzevariabelen'!$M:$M,Data!G158)</f>
        <v>3.1649999999999998E-2</v>
      </c>
      <c r="R158" s="212">
        <f t="shared" si="8"/>
        <v>1052.31106875</v>
      </c>
    </row>
    <row r="159" spans="2:18" ht="17.399999999999999" thickTop="1" thickBot="1" x14ac:dyDescent="0.35">
      <c r="B159" s="124" t="s">
        <v>148</v>
      </c>
      <c r="C159" s="270">
        <f>VLOOKUP(B159,'Input keuzevariabelen'!$B:$C,2,FALSE)</f>
        <v>0.125</v>
      </c>
      <c r="D159" s="120">
        <v>2022</v>
      </c>
      <c r="E159" s="125" t="s">
        <v>10</v>
      </c>
      <c r="F159" s="250">
        <f>VLOOKUP(G159,'Input keuzevariabelen'!$F:$J,2,FALSE)</f>
        <v>2</v>
      </c>
      <c r="G159" s="96" t="s">
        <v>27</v>
      </c>
      <c r="H159" s="233">
        <v>23476000</v>
      </c>
      <c r="I159" s="211">
        <f t="shared" si="6"/>
        <v>2934500</v>
      </c>
      <c r="J159" s="252" t="str">
        <f>VLOOKUP(G159,'Input keuzevariabelen'!$F:$J,3,FALSE)</f>
        <v>kWh</v>
      </c>
      <c r="K159" s="252">
        <f>SUMIFS('Input keuzevariabelen'!$I:$I,'Input keuzevariabelen'!$F:$F,Data!G159,'Input keuzevariabelen'!$K:$K,Data!D159)</f>
        <v>0</v>
      </c>
      <c r="L159" s="91" t="str">
        <f>VLOOKUP(G159,'Input keuzevariabelen'!$F:$J,5,FALSE)</f>
        <v>gram CO2/kWh</v>
      </c>
      <c r="M159" s="209">
        <f t="shared" si="7"/>
        <v>0</v>
      </c>
      <c r="N159" s="99" t="s">
        <v>155</v>
      </c>
      <c r="O159" s="99"/>
      <c r="P159" s="100" t="s">
        <v>126</v>
      </c>
      <c r="Q159" s="91">
        <f>SUMIFS('Input keuzevariabelen'!$P:$P,'Input keuzevariabelen'!$M:$M,Data!G159)</f>
        <v>5.2199999999999998E-3</v>
      </c>
      <c r="R159" s="212">
        <f t="shared" si="8"/>
        <v>15318.09</v>
      </c>
    </row>
    <row r="160" spans="2:18" ht="17.399999999999999" thickTop="1" thickBot="1" x14ac:dyDescent="0.35">
      <c r="B160" s="124" t="s">
        <v>127</v>
      </c>
      <c r="C160" s="270">
        <f>VLOOKUP(B160,'Input keuzevariabelen'!$B:$C,2,FALSE)</f>
        <v>0.28599999999999998</v>
      </c>
      <c r="D160" s="120">
        <v>2022</v>
      </c>
      <c r="E160" s="125" t="s">
        <v>10</v>
      </c>
      <c r="F160" s="250">
        <f>VLOOKUP(G160,'Input keuzevariabelen'!$F:$J,2,FALSE)</f>
        <v>1</v>
      </c>
      <c r="G160" s="96" t="s">
        <v>18</v>
      </c>
      <c r="H160" s="233">
        <f>H121</f>
        <v>13815</v>
      </c>
      <c r="I160" s="211">
        <f t="shared" si="6"/>
        <v>3951.0899999999997</v>
      </c>
      <c r="J160" s="252" t="str">
        <f>VLOOKUP(G160,'Input keuzevariabelen'!$F:$J,3,FALSE)</f>
        <v>m3</v>
      </c>
      <c r="K160" s="252">
        <f>SUMIFS('Input keuzevariabelen'!$I:$I,'Input keuzevariabelen'!$F:$F,Data!G160,'Input keuzevariabelen'!$K:$K,Data!D160)</f>
        <v>2085</v>
      </c>
      <c r="L160" s="91" t="str">
        <f>VLOOKUP(G160,'Input keuzevariabelen'!$F:$J,5,FALSE)</f>
        <v>gram CO2/m3</v>
      </c>
      <c r="M160" s="209">
        <f t="shared" si="7"/>
        <v>8.2380226499999996</v>
      </c>
      <c r="N160" s="99" t="s">
        <v>156</v>
      </c>
      <c r="O160" s="99"/>
      <c r="P160" s="100" t="s">
        <v>127</v>
      </c>
      <c r="Q160" s="91">
        <f>SUMIFS('Input keuzevariabelen'!$P:$P,'Input keuzevariabelen'!$M:$M,Data!G160)</f>
        <v>3.1649999999999998E-2</v>
      </c>
      <c r="R160" s="212">
        <f t="shared" si="8"/>
        <v>125.05199849999998</v>
      </c>
    </row>
    <row r="161" spans="2:18" ht="17.399999999999999" thickTop="1" thickBot="1" x14ac:dyDescent="0.35">
      <c r="B161" s="124" t="s">
        <v>127</v>
      </c>
      <c r="C161" s="270">
        <f>VLOOKUP(B161,'Input keuzevariabelen'!$B:$C,2,FALSE)</f>
        <v>0.28599999999999998</v>
      </c>
      <c r="D161" s="120">
        <v>2022</v>
      </c>
      <c r="E161" s="125" t="s">
        <v>10</v>
      </c>
      <c r="F161" s="250">
        <f>VLOOKUP(G161,'Input keuzevariabelen'!$F:$J,2,FALSE)</f>
        <v>2</v>
      </c>
      <c r="G161" s="96" t="s">
        <v>25</v>
      </c>
      <c r="H161" s="233">
        <f>483956*0.4008</f>
        <v>193969.56479999999</v>
      </c>
      <c r="I161" s="211">
        <f t="shared" si="6"/>
        <v>55475.295532799995</v>
      </c>
      <c r="J161" s="252" t="str">
        <f>VLOOKUP(G161,'Input keuzevariabelen'!$F:$J,3,FALSE)</f>
        <v>kWh</v>
      </c>
      <c r="K161" s="252">
        <f>SUMIFS('Input keuzevariabelen'!$I:$I,'Input keuzevariabelen'!$F:$F,Data!G161,'Input keuzevariabelen'!$K:$K,Data!D161)</f>
        <v>523</v>
      </c>
      <c r="L161" s="91" t="str">
        <f>VLOOKUP(G161,'Input keuzevariabelen'!$F:$J,5,FALSE)</f>
        <v>gram CO2/kWh</v>
      </c>
      <c r="M161" s="209">
        <f t="shared" si="7"/>
        <v>29.013579563654396</v>
      </c>
      <c r="N161" s="99" t="s">
        <v>157</v>
      </c>
      <c r="O161" s="99"/>
      <c r="P161" s="100" t="s">
        <v>127</v>
      </c>
      <c r="Q161" s="91">
        <f>SUMIFS('Input keuzevariabelen'!$P:$P,'Input keuzevariabelen'!$M:$M,Data!G161)</f>
        <v>5.2199999999999998E-3</v>
      </c>
      <c r="R161" s="212">
        <f t="shared" si="8"/>
        <v>289.58104268121599</v>
      </c>
    </row>
    <row r="162" spans="2:18" ht="17.399999999999999" thickTop="1" thickBot="1" x14ac:dyDescent="0.35">
      <c r="B162" s="124" t="s">
        <v>53</v>
      </c>
      <c r="C162" s="270">
        <f>VLOOKUP(B162,'Input keuzevariabelen'!$B:$C,2,FALSE)</f>
        <v>0.111</v>
      </c>
      <c r="D162" s="120">
        <v>2022</v>
      </c>
      <c r="E162" s="125" t="s">
        <v>10</v>
      </c>
      <c r="F162" s="250">
        <f>VLOOKUP(G162,'Input keuzevariabelen'!$F:$J,2,FALSE)</f>
        <v>1</v>
      </c>
      <c r="G162" s="96" t="s">
        <v>18</v>
      </c>
      <c r="H162" s="233">
        <v>128928</v>
      </c>
      <c r="I162" s="211">
        <f t="shared" si="6"/>
        <v>14311.008</v>
      </c>
      <c r="J162" s="252" t="str">
        <f>VLOOKUP(G162,'Input keuzevariabelen'!$F:$J,3,FALSE)</f>
        <v>m3</v>
      </c>
      <c r="K162" s="252">
        <f>SUMIFS('Input keuzevariabelen'!$I:$I,'Input keuzevariabelen'!$F:$F,Data!G162,'Input keuzevariabelen'!$K:$K,Data!D162)</f>
        <v>2085</v>
      </c>
      <c r="L162" s="91" t="str">
        <f>VLOOKUP(G162,'Input keuzevariabelen'!$F:$J,5,FALSE)</f>
        <v>gram CO2/m3</v>
      </c>
      <c r="M162" s="209">
        <f t="shared" si="7"/>
        <v>29.838451679999999</v>
      </c>
      <c r="N162" s="99" t="s">
        <v>158</v>
      </c>
      <c r="O162" s="99"/>
      <c r="P162" s="100" t="s">
        <v>53</v>
      </c>
      <c r="Q162" s="91">
        <f>SUMIFS('Input keuzevariabelen'!$P:$P,'Input keuzevariabelen'!$M:$M,Data!G162)</f>
        <v>3.1649999999999998E-2</v>
      </c>
      <c r="R162" s="212">
        <f t="shared" si="8"/>
        <v>452.94340319999998</v>
      </c>
    </row>
    <row r="163" spans="2:18" ht="17.399999999999999" thickTop="1" thickBot="1" x14ac:dyDescent="0.35">
      <c r="B163" s="124" t="s">
        <v>53</v>
      </c>
      <c r="C163" s="270">
        <f>VLOOKUP(B163,'Input keuzevariabelen'!$B:$C,2,FALSE)</f>
        <v>0.111</v>
      </c>
      <c r="D163" s="120">
        <v>2022</v>
      </c>
      <c r="E163" s="125" t="s">
        <v>10</v>
      </c>
      <c r="F163" s="250">
        <f>VLOOKUP(G163,'Input keuzevariabelen'!$F:$J,2,FALSE)</f>
        <v>2</v>
      </c>
      <c r="G163" s="96" t="s">
        <v>27</v>
      </c>
      <c r="H163" s="233">
        <v>1255209</v>
      </c>
      <c r="I163" s="211">
        <f t="shared" si="6"/>
        <v>139328.19899999999</v>
      </c>
      <c r="J163" s="252" t="str">
        <f>VLOOKUP(G163,'Input keuzevariabelen'!$F:$J,3,FALSE)</f>
        <v>kWh</v>
      </c>
      <c r="K163" s="252">
        <f>SUMIFS('Input keuzevariabelen'!$I:$I,'Input keuzevariabelen'!$F:$F,Data!G163,'Input keuzevariabelen'!$K:$K,Data!D163)</f>
        <v>0</v>
      </c>
      <c r="L163" s="91" t="str">
        <f>VLOOKUP(G163,'Input keuzevariabelen'!$F:$J,5,FALSE)</f>
        <v>gram CO2/kWh</v>
      </c>
      <c r="M163" s="209">
        <f t="shared" si="7"/>
        <v>0</v>
      </c>
      <c r="N163" s="99" t="s">
        <v>158</v>
      </c>
      <c r="O163" s="99"/>
      <c r="P163" s="100" t="s">
        <v>53</v>
      </c>
      <c r="Q163" s="91">
        <f>SUMIFS('Input keuzevariabelen'!$P:$P,'Input keuzevariabelen'!$M:$M,Data!G163)</f>
        <v>5.2199999999999998E-3</v>
      </c>
      <c r="R163" s="212">
        <f t="shared" si="8"/>
        <v>727.2931987799999</v>
      </c>
    </row>
    <row r="164" spans="2:18" ht="17.399999999999999" thickTop="1" thickBot="1" x14ac:dyDescent="0.35">
      <c r="B164" s="124" t="s">
        <v>53</v>
      </c>
      <c r="C164" s="270">
        <f>VLOOKUP(B164,'Input keuzevariabelen'!$B:$C,2,FALSE)</f>
        <v>0.111</v>
      </c>
      <c r="D164" s="120">
        <v>2022</v>
      </c>
      <c r="E164" s="125" t="s">
        <v>10</v>
      </c>
      <c r="F164" s="250">
        <f>VLOOKUP(G164,'Input keuzevariabelen'!$F:$J,2,FALSE)</f>
        <v>2</v>
      </c>
      <c r="G164" s="96" t="s">
        <v>28</v>
      </c>
      <c r="H164" s="233">
        <v>16249</v>
      </c>
      <c r="I164" s="211">
        <f t="shared" si="6"/>
        <v>1803.6390000000001</v>
      </c>
      <c r="J164" s="252" t="str">
        <f>VLOOKUP(G164,'Input keuzevariabelen'!$F:$J,3,FALSE)</f>
        <v>kWh</v>
      </c>
      <c r="K164" s="252">
        <f>SUMIFS('Input keuzevariabelen'!$I:$I,'Input keuzevariabelen'!$F:$F,Data!G164,'Input keuzevariabelen'!$K:$K,Data!D164)</f>
        <v>523</v>
      </c>
      <c r="L164" s="91" t="str">
        <f>VLOOKUP(G164,'Input keuzevariabelen'!$F:$J,5,FALSE)</f>
        <v>gram CO2/kWh</v>
      </c>
      <c r="M164" s="209">
        <f t="shared" si="7"/>
        <v>0.94330319700000009</v>
      </c>
      <c r="N164" s="99" t="s">
        <v>158</v>
      </c>
      <c r="O164" s="99"/>
      <c r="P164" s="100" t="s">
        <v>53</v>
      </c>
      <c r="Q164" s="91">
        <f>SUMIFS('Input keuzevariabelen'!$P:$P,'Input keuzevariabelen'!$M:$M,Data!G164)</f>
        <v>5.2199999999999998E-3</v>
      </c>
      <c r="R164" s="212">
        <f t="shared" si="8"/>
        <v>9.4149955800000011</v>
      </c>
    </row>
    <row r="165" spans="2:18" ht="17.399999999999999" thickTop="1" thickBot="1" x14ac:dyDescent="0.35">
      <c r="B165" s="124" t="s">
        <v>53</v>
      </c>
      <c r="C165" s="270">
        <f>VLOOKUP(B165,'Input keuzevariabelen'!$B:$C,2,FALSE)</f>
        <v>0.111</v>
      </c>
      <c r="D165" s="120">
        <v>2022</v>
      </c>
      <c r="E165" s="125" t="s">
        <v>10</v>
      </c>
      <c r="F165" s="250">
        <f>VLOOKUP(G165,'Input keuzevariabelen'!$F:$J,2,FALSE)</f>
        <v>1</v>
      </c>
      <c r="G165" s="96" t="s">
        <v>20</v>
      </c>
      <c r="H165" s="233">
        <v>128835</v>
      </c>
      <c r="I165" s="211">
        <f t="shared" si="6"/>
        <v>14300.684999999999</v>
      </c>
      <c r="J165" s="252" t="str">
        <f>VLOOKUP(G165,'Input keuzevariabelen'!$F:$J,3,FALSE)</f>
        <v>liter</v>
      </c>
      <c r="K165" s="252">
        <f>SUMIFS('Input keuzevariabelen'!$I:$I,'Input keuzevariabelen'!$F:$F,Data!G165,'Input keuzevariabelen'!$K:$K,Data!D165)</f>
        <v>3262</v>
      </c>
      <c r="L165" s="91" t="str">
        <f>VLOOKUP(G165,'Input keuzevariabelen'!$F:$J,5,FALSE)</f>
        <v>gram CO2/liter</v>
      </c>
      <c r="M165" s="209">
        <f t="shared" si="7"/>
        <v>46.648834469999997</v>
      </c>
      <c r="N165" s="99" t="s">
        <v>158</v>
      </c>
      <c r="O165" s="99"/>
      <c r="P165" s="100" t="s">
        <v>53</v>
      </c>
      <c r="Q165" s="91">
        <f>SUMIFS('Input keuzevariabelen'!$P:$P,'Input keuzevariabelen'!$M:$M,Data!G165)</f>
        <v>3.6299999999999999E-2</v>
      </c>
      <c r="R165" s="212">
        <f t="shared" si="8"/>
        <v>519.11486549999995</v>
      </c>
    </row>
    <row r="166" spans="2:18" ht="17.399999999999999" thickTop="1" thickBot="1" x14ac:dyDescent="0.35">
      <c r="B166" s="124" t="s">
        <v>53</v>
      </c>
      <c r="C166" s="270">
        <f>VLOOKUP(B166,'Input keuzevariabelen'!$B:$C,2,FALSE)</f>
        <v>0.111</v>
      </c>
      <c r="D166" s="120">
        <v>2022</v>
      </c>
      <c r="E166" s="125" t="s">
        <v>10</v>
      </c>
      <c r="F166" s="250">
        <f>VLOOKUP(G166,'Input keuzevariabelen'!$F:$J,2,FALSE)</f>
        <v>1</v>
      </c>
      <c r="G166" s="96" t="s">
        <v>22</v>
      </c>
      <c r="H166" s="233">
        <v>3936</v>
      </c>
      <c r="I166" s="211">
        <f t="shared" si="6"/>
        <v>436.89600000000002</v>
      </c>
      <c r="J166" s="252" t="str">
        <f>VLOOKUP(G166,'Input keuzevariabelen'!$F:$J,3,FALSE)</f>
        <v>liter</v>
      </c>
      <c r="K166" s="252">
        <f>SUMIFS('Input keuzevariabelen'!$I:$I,'Input keuzevariabelen'!$F:$F,Data!G166,'Input keuzevariabelen'!$K:$K,Data!D166)</f>
        <v>2784</v>
      </c>
      <c r="L166" s="91" t="str">
        <f>VLOOKUP(G166,'Input keuzevariabelen'!$F:$J,5,FALSE)</f>
        <v>gram CO2/liter</v>
      </c>
      <c r="M166" s="209">
        <f t="shared" si="7"/>
        <v>1.2163184640000002</v>
      </c>
      <c r="N166" s="99" t="s">
        <v>158</v>
      </c>
      <c r="O166" s="99"/>
      <c r="P166" s="100" t="s">
        <v>53</v>
      </c>
      <c r="Q166" s="91">
        <f>SUMIFS('Input keuzevariabelen'!$P:$P,'Input keuzevariabelen'!$M:$M,Data!G166)</f>
        <v>3.1E-2</v>
      </c>
      <c r="R166" s="212">
        <f t="shared" si="8"/>
        <v>13.543776000000001</v>
      </c>
    </row>
    <row r="167" spans="2:18" ht="17.399999999999999" thickTop="1" thickBot="1" x14ac:dyDescent="0.35">
      <c r="B167" s="124" t="s">
        <v>53</v>
      </c>
      <c r="C167" s="270">
        <f>VLOOKUP(B167,'Input keuzevariabelen'!$B:$C,2,FALSE)</f>
        <v>0.111</v>
      </c>
      <c r="D167" s="120">
        <v>2022</v>
      </c>
      <c r="E167" s="125" t="s">
        <v>10</v>
      </c>
      <c r="F167" s="250" t="str">
        <f>VLOOKUP(G167,'Input keuzevariabelen'!$F:$J,2,FALSE)</f>
        <v>bt</v>
      </c>
      <c r="G167" s="96" t="s">
        <v>31</v>
      </c>
      <c r="H167" s="233">
        <f>36144/0.19</f>
        <v>190231.57894736843</v>
      </c>
      <c r="I167" s="211">
        <f t="shared" si="6"/>
        <v>21115.705263157895</v>
      </c>
      <c r="J167" s="252" t="str">
        <f>VLOOKUP(G167,'Input keuzevariabelen'!$F:$J,3,FALSE)</f>
        <v>km</v>
      </c>
      <c r="K167" s="252">
        <f>SUMIFS('Input keuzevariabelen'!$I:$I,'Input keuzevariabelen'!$F:$F,Data!G167,'Input keuzevariabelen'!$K:$K,Data!D167)</f>
        <v>193</v>
      </c>
      <c r="L167" s="91" t="str">
        <f>VLOOKUP(G167,'Input keuzevariabelen'!$F:$J,5,FALSE)</f>
        <v>gram CO2/km</v>
      </c>
      <c r="M167" s="209">
        <f t="shared" si="7"/>
        <v>4.0753311157894743</v>
      </c>
      <c r="N167" s="99" t="s">
        <v>158</v>
      </c>
      <c r="O167" s="99"/>
      <c r="P167" s="100" t="s">
        <v>53</v>
      </c>
      <c r="Q167" s="91">
        <f>SUMIFS('Input keuzevariabelen'!$P:$P,'Input keuzevariabelen'!$M:$M,Data!G167)</f>
        <v>0</v>
      </c>
      <c r="R167" s="212">
        <f t="shared" si="8"/>
        <v>0</v>
      </c>
    </row>
    <row r="168" spans="2:18" ht="17.399999999999999" thickTop="1" thickBot="1" x14ac:dyDescent="0.35">
      <c r="B168" s="124" t="s">
        <v>53</v>
      </c>
      <c r="C168" s="270">
        <f>VLOOKUP(B168,'Input keuzevariabelen'!$B:$C,2,FALSE)</f>
        <v>0.111</v>
      </c>
      <c r="D168" s="120">
        <v>2022</v>
      </c>
      <c r="E168" s="125" t="s">
        <v>10</v>
      </c>
      <c r="F168" s="250" t="str">
        <f>VLOOKUP(G168,'Input keuzevariabelen'!$F:$J,2,FALSE)</f>
        <v>bt</v>
      </c>
      <c r="G168" s="96" t="s">
        <v>33</v>
      </c>
      <c r="H168" s="233">
        <f>8880/0.15</f>
        <v>59200</v>
      </c>
      <c r="I168" s="211">
        <f t="shared" si="6"/>
        <v>6571.2</v>
      </c>
      <c r="J168" s="252" t="str">
        <f>VLOOKUP(G168,'Input keuzevariabelen'!$F:$J,3,FALSE)</f>
        <v>km</v>
      </c>
      <c r="K168" s="252">
        <f>SUMIFS('Input keuzevariabelen'!$I:$I,'Input keuzevariabelen'!$F:$F,Data!G168,'Input keuzevariabelen'!$K:$K,Data!D168)</f>
        <v>15</v>
      </c>
      <c r="L168" s="91" t="str">
        <f>VLOOKUP(G168,'Input keuzevariabelen'!$F:$J,5,FALSE)</f>
        <v>gram CO2/km</v>
      </c>
      <c r="M168" s="209">
        <f t="shared" si="7"/>
        <v>9.8568000000000003E-2</v>
      </c>
      <c r="N168" s="99" t="s">
        <v>158</v>
      </c>
      <c r="O168" s="99"/>
      <c r="P168" s="100" t="s">
        <v>53</v>
      </c>
      <c r="Q168" s="91">
        <f>SUMIFS('Input keuzevariabelen'!$P:$P,'Input keuzevariabelen'!$M:$M,Data!G168)</f>
        <v>0</v>
      </c>
      <c r="R168" s="212">
        <f t="shared" si="8"/>
        <v>0</v>
      </c>
    </row>
    <row r="169" spans="2:18" ht="17.399999999999999" thickTop="1" thickBot="1" x14ac:dyDescent="0.35">
      <c r="B169" s="124" t="s">
        <v>159</v>
      </c>
      <c r="C169" s="270">
        <f>VLOOKUP(B169,'Input keuzevariabelen'!$B:$C,2,FALSE)</f>
        <v>4.8000000000000001E-2</v>
      </c>
      <c r="D169" s="120">
        <v>2022</v>
      </c>
      <c r="E169" s="125" t="s">
        <v>10</v>
      </c>
      <c r="F169" s="250">
        <f>VLOOKUP(G169,'Input keuzevariabelen'!$F:$J,2,FALSE)</f>
        <v>1</v>
      </c>
      <c r="G169" s="96" t="s">
        <v>18</v>
      </c>
      <c r="H169" s="233">
        <v>155</v>
      </c>
      <c r="I169" s="211">
        <f t="shared" si="6"/>
        <v>7.44</v>
      </c>
      <c r="J169" s="252" t="str">
        <f>VLOOKUP(G169,'Input keuzevariabelen'!$F:$J,3,FALSE)</f>
        <v>m3</v>
      </c>
      <c r="K169" s="252">
        <f>SUMIFS('Input keuzevariabelen'!$I:$I,'Input keuzevariabelen'!$F:$F,Data!G169,'Input keuzevariabelen'!$K:$K,Data!D169)</f>
        <v>2085</v>
      </c>
      <c r="L169" s="91" t="str">
        <f>VLOOKUP(G169,'Input keuzevariabelen'!$F:$J,5,FALSE)</f>
        <v>gram CO2/m3</v>
      </c>
      <c r="M169" s="209">
        <f t="shared" si="7"/>
        <v>1.5512400000000001E-2</v>
      </c>
      <c r="N169" s="99" t="s">
        <v>160</v>
      </c>
      <c r="O169" s="99"/>
      <c r="P169" s="100" t="s">
        <v>161</v>
      </c>
      <c r="Q169" s="91">
        <f>SUMIFS('Input keuzevariabelen'!$P:$P,'Input keuzevariabelen'!$M:$M,Data!G169)</f>
        <v>3.1649999999999998E-2</v>
      </c>
      <c r="R169" s="212">
        <f t="shared" si="8"/>
        <v>0.23547599999999999</v>
      </c>
    </row>
    <row r="170" spans="2:18" ht="17.399999999999999" thickTop="1" thickBot="1" x14ac:dyDescent="0.35">
      <c r="B170" s="124" t="s">
        <v>159</v>
      </c>
      <c r="C170" s="270">
        <f>VLOOKUP(B170,'Input keuzevariabelen'!$B:$C,2,FALSE)</f>
        <v>4.8000000000000001E-2</v>
      </c>
      <c r="D170" s="120">
        <v>2022</v>
      </c>
      <c r="E170" s="125" t="s">
        <v>10</v>
      </c>
      <c r="F170" s="250">
        <f>VLOOKUP(G170,'Input keuzevariabelen'!$F:$J,2,FALSE)</f>
        <v>2</v>
      </c>
      <c r="G170" s="96" t="s">
        <v>27</v>
      </c>
      <c r="H170" s="233">
        <f>365504/0.4581</f>
        <v>797869.46081641561</v>
      </c>
      <c r="I170" s="211">
        <f t="shared" si="6"/>
        <v>38297.734119187953</v>
      </c>
      <c r="J170" s="252" t="str">
        <f>VLOOKUP(G170,'Input keuzevariabelen'!$F:$J,3,FALSE)</f>
        <v>kWh</v>
      </c>
      <c r="K170" s="252">
        <f>SUMIFS('Input keuzevariabelen'!$I:$I,'Input keuzevariabelen'!$F:$F,Data!G170,'Input keuzevariabelen'!$K:$K,Data!D170)</f>
        <v>0</v>
      </c>
      <c r="L170" s="91" t="str">
        <f>VLOOKUP(G170,'Input keuzevariabelen'!$F:$J,5,FALSE)</f>
        <v>gram CO2/kWh</v>
      </c>
      <c r="M170" s="209">
        <f t="shared" si="7"/>
        <v>0</v>
      </c>
      <c r="N170" s="99" t="s">
        <v>162</v>
      </c>
      <c r="O170" s="99"/>
      <c r="P170" s="100" t="s">
        <v>161</v>
      </c>
      <c r="Q170" s="91">
        <f>SUMIFS('Input keuzevariabelen'!$P:$P,'Input keuzevariabelen'!$M:$M,Data!G170)</f>
        <v>5.2199999999999998E-3</v>
      </c>
      <c r="R170" s="212">
        <f t="shared" si="8"/>
        <v>199.9141721021611</v>
      </c>
    </row>
    <row r="171" spans="2:18" ht="17.399999999999999" thickTop="1" thickBot="1" x14ac:dyDescent="0.35">
      <c r="B171" s="124" t="s">
        <v>159</v>
      </c>
      <c r="C171" s="270">
        <f>VLOOKUP(B171,'Input keuzevariabelen'!$B:$C,2,FALSE)</f>
        <v>4.8000000000000001E-2</v>
      </c>
      <c r="D171" s="120">
        <v>2022</v>
      </c>
      <c r="E171" s="125" t="s">
        <v>10</v>
      </c>
      <c r="F171" s="250">
        <f>VLOOKUP(G171,'Input keuzevariabelen'!$F:$J,2,FALSE)</f>
        <v>1</v>
      </c>
      <c r="G171" s="96" t="s">
        <v>22</v>
      </c>
      <c r="H171" s="236">
        <f>551/2.072</f>
        <v>265.92664092664091</v>
      </c>
      <c r="I171" s="211">
        <f t="shared" si="6"/>
        <v>12.764478764478763</v>
      </c>
      <c r="J171" s="252" t="str">
        <f>VLOOKUP(G171,'Input keuzevariabelen'!$F:$J,3,FALSE)</f>
        <v>liter</v>
      </c>
      <c r="K171" s="252">
        <f>SUMIFS('Input keuzevariabelen'!$I:$I,'Input keuzevariabelen'!$F:$F,Data!G171,'Input keuzevariabelen'!$K:$K,Data!D171)</f>
        <v>2784</v>
      </c>
      <c r="L171" s="91" t="str">
        <f>VLOOKUP(G171,'Input keuzevariabelen'!$F:$J,5,FALSE)</f>
        <v>gram CO2/liter</v>
      </c>
      <c r="M171" s="209">
        <f t="shared" si="7"/>
        <v>3.5536308880308877E-2</v>
      </c>
      <c r="N171" s="99" t="s">
        <v>162</v>
      </c>
      <c r="O171" s="99"/>
      <c r="P171" s="100" t="s">
        <v>161</v>
      </c>
      <c r="Q171" s="91">
        <f>SUMIFS('Input keuzevariabelen'!$P:$P,'Input keuzevariabelen'!$M:$M,Data!G171)</f>
        <v>3.1E-2</v>
      </c>
      <c r="R171" s="212">
        <f t="shared" si="8"/>
        <v>0.39569884169884167</v>
      </c>
    </row>
    <row r="172" spans="2:18" ht="17.399999999999999" thickTop="1" thickBot="1" x14ac:dyDescent="0.35">
      <c r="B172" s="124" t="s">
        <v>159</v>
      </c>
      <c r="C172" s="270">
        <f>VLOOKUP(B172,'Input keuzevariabelen'!$B:$C,2,FALSE)</f>
        <v>4.8000000000000001E-2</v>
      </c>
      <c r="D172" s="120">
        <v>2022</v>
      </c>
      <c r="E172" s="125" t="s">
        <v>10</v>
      </c>
      <c r="F172" s="250">
        <f>VLOOKUP(G172,'Input keuzevariabelen'!$F:$J,2,FALSE)</f>
        <v>1</v>
      </c>
      <c r="G172" s="96" t="s">
        <v>20</v>
      </c>
      <c r="H172" s="236">
        <f>1755/1.956</f>
        <v>897.23926380368096</v>
      </c>
      <c r="I172" s="211">
        <f t="shared" si="6"/>
        <v>43.067484662576689</v>
      </c>
      <c r="J172" s="252" t="str">
        <f>VLOOKUP(G172,'Input keuzevariabelen'!$F:$J,3,FALSE)</f>
        <v>liter</v>
      </c>
      <c r="K172" s="252">
        <f>SUMIFS('Input keuzevariabelen'!$I:$I,'Input keuzevariabelen'!$F:$F,Data!G172,'Input keuzevariabelen'!$K:$K,Data!D172)</f>
        <v>3262</v>
      </c>
      <c r="L172" s="91" t="str">
        <f>VLOOKUP(G172,'Input keuzevariabelen'!$F:$J,5,FALSE)</f>
        <v>gram CO2/liter</v>
      </c>
      <c r="M172" s="209">
        <f t="shared" si="7"/>
        <v>0.14048613496932516</v>
      </c>
      <c r="N172" s="99" t="s">
        <v>162</v>
      </c>
      <c r="O172" s="99"/>
      <c r="P172" s="100" t="s">
        <v>161</v>
      </c>
      <c r="Q172" s="91">
        <f>SUMIFS('Input keuzevariabelen'!$P:$P,'Input keuzevariabelen'!$M:$M,Data!G172)</f>
        <v>3.6299999999999999E-2</v>
      </c>
      <c r="R172" s="212">
        <f t="shared" si="8"/>
        <v>1.5633496932515338</v>
      </c>
    </row>
    <row r="173" spans="2:18" ht="17.399999999999999" thickTop="1" thickBot="1" x14ac:dyDescent="0.35">
      <c r="B173" s="124" t="s">
        <v>159</v>
      </c>
      <c r="C173" s="270">
        <f>VLOOKUP(B173,'Input keuzevariabelen'!$B:$C,2,FALSE)</f>
        <v>4.8000000000000001E-2</v>
      </c>
      <c r="D173" s="120">
        <v>2022</v>
      </c>
      <c r="E173" s="125" t="s">
        <v>10</v>
      </c>
      <c r="F173" s="250">
        <f>VLOOKUP(G173,'Input keuzevariabelen'!$F:$J,2,FALSE)</f>
        <v>2</v>
      </c>
      <c r="G173" s="96" t="s">
        <v>28</v>
      </c>
      <c r="H173" s="236">
        <v>13686</v>
      </c>
      <c r="I173" s="211">
        <f t="shared" si="6"/>
        <v>656.928</v>
      </c>
      <c r="J173" s="252" t="str">
        <f>VLOOKUP(G173,'Input keuzevariabelen'!$F:$J,3,FALSE)</f>
        <v>kWh</v>
      </c>
      <c r="K173" s="252">
        <f>SUMIFS('Input keuzevariabelen'!$I:$I,'Input keuzevariabelen'!$F:$F,Data!G173,'Input keuzevariabelen'!$K:$K,Data!D173)</f>
        <v>523</v>
      </c>
      <c r="L173" s="91" t="str">
        <f>VLOOKUP(G173,'Input keuzevariabelen'!$F:$J,5,FALSE)</f>
        <v>gram CO2/kWh</v>
      </c>
      <c r="M173" s="209">
        <f t="shared" si="7"/>
        <v>0.343573344</v>
      </c>
      <c r="N173" s="99" t="s">
        <v>162</v>
      </c>
      <c r="O173" s="99"/>
      <c r="P173" s="100" t="s">
        <v>161</v>
      </c>
      <c r="Q173" s="91">
        <f>SUMIFS('Input keuzevariabelen'!$P:$P,'Input keuzevariabelen'!$M:$M,Data!G173)</f>
        <v>5.2199999999999998E-3</v>
      </c>
      <c r="R173" s="212">
        <f t="shared" si="8"/>
        <v>3.42916416</v>
      </c>
    </row>
    <row r="174" spans="2:18" ht="17.399999999999999" thickTop="1" thickBot="1" x14ac:dyDescent="0.35">
      <c r="B174" s="124" t="s">
        <v>159</v>
      </c>
      <c r="C174" s="270">
        <f>VLOOKUP(B174,'Input keuzevariabelen'!$B:$C,2,FALSE)</f>
        <v>4.8000000000000001E-2</v>
      </c>
      <c r="D174" s="120">
        <v>2022</v>
      </c>
      <c r="E174" s="125" t="s">
        <v>10</v>
      </c>
      <c r="F174" s="250" t="str">
        <f>VLOOKUP(G174,'Input keuzevariabelen'!$F:$J,2,FALSE)</f>
        <v>bt</v>
      </c>
      <c r="G174" s="96" t="s">
        <v>31</v>
      </c>
      <c r="H174" s="236">
        <v>2417</v>
      </c>
      <c r="I174" s="211">
        <f t="shared" si="6"/>
        <v>116.01600000000001</v>
      </c>
      <c r="J174" s="252" t="str">
        <f>VLOOKUP(G174,'Input keuzevariabelen'!$F:$J,3,FALSE)</f>
        <v>km</v>
      </c>
      <c r="K174" s="252">
        <f>SUMIFS('Input keuzevariabelen'!$I:$I,'Input keuzevariabelen'!$F:$F,Data!G174,'Input keuzevariabelen'!$K:$K,Data!D174)</f>
        <v>193</v>
      </c>
      <c r="L174" s="91" t="str">
        <f>VLOOKUP(G174,'Input keuzevariabelen'!$F:$J,5,FALSE)</f>
        <v>gram CO2/km</v>
      </c>
      <c r="M174" s="209">
        <f t="shared" si="7"/>
        <v>2.2391088E-2</v>
      </c>
      <c r="N174" s="99" t="s">
        <v>162</v>
      </c>
      <c r="O174" s="99"/>
      <c r="P174" s="100" t="s">
        <v>161</v>
      </c>
      <c r="Q174" s="91">
        <f>SUMIFS('Input keuzevariabelen'!$P:$P,'Input keuzevariabelen'!$M:$M,Data!G174)</f>
        <v>0</v>
      </c>
      <c r="R174" s="212">
        <f t="shared" si="8"/>
        <v>0</v>
      </c>
    </row>
    <row r="175" spans="2:18" ht="17.399999999999999" thickTop="1" thickBot="1" x14ac:dyDescent="0.35">
      <c r="B175" s="124" t="s">
        <v>159</v>
      </c>
      <c r="C175" s="270">
        <f>VLOOKUP(B175,'Input keuzevariabelen'!$B:$C,2,FALSE)</f>
        <v>4.8000000000000001E-2</v>
      </c>
      <c r="D175" s="120">
        <v>2022</v>
      </c>
      <c r="E175" s="125" t="s">
        <v>10</v>
      </c>
      <c r="F175" s="250" t="str">
        <f>VLOOKUP(G175,'Input keuzevariabelen'!$F:$J,2,FALSE)</f>
        <v>bt</v>
      </c>
      <c r="G175" s="96" t="s">
        <v>33</v>
      </c>
      <c r="H175" s="236">
        <f>227/0.13</f>
        <v>1746.1538461538462</v>
      </c>
      <c r="I175" s="211">
        <f t="shared" si="6"/>
        <v>83.815384615384616</v>
      </c>
      <c r="J175" s="252" t="str">
        <f>VLOOKUP(G175,'Input keuzevariabelen'!$F:$J,3,FALSE)</f>
        <v>km</v>
      </c>
      <c r="K175" s="252">
        <f>SUMIFS('Input keuzevariabelen'!$I:$I,'Input keuzevariabelen'!$F:$F,Data!G175,'Input keuzevariabelen'!$K:$K,Data!D175)</f>
        <v>15</v>
      </c>
      <c r="L175" s="91" t="str">
        <f>VLOOKUP(G175,'Input keuzevariabelen'!$F:$J,5,FALSE)</f>
        <v>gram CO2/km</v>
      </c>
      <c r="M175" s="209">
        <f t="shared" si="7"/>
        <v>1.2572307692307694E-3</v>
      </c>
      <c r="N175" s="99" t="s">
        <v>162</v>
      </c>
      <c r="O175" s="99"/>
      <c r="P175" s="100" t="s">
        <v>161</v>
      </c>
      <c r="Q175" s="91">
        <f>SUMIFS('Input keuzevariabelen'!$P:$P,'Input keuzevariabelen'!$M:$M,Data!G175)</f>
        <v>0</v>
      </c>
      <c r="R175" s="212">
        <f t="shared" si="8"/>
        <v>0</v>
      </c>
    </row>
    <row r="176" spans="2:18" ht="17.399999999999999" thickTop="1" thickBot="1" x14ac:dyDescent="0.35">
      <c r="B176" s="124" t="s">
        <v>159</v>
      </c>
      <c r="C176" s="270">
        <f>VLOOKUP(B176,'Input keuzevariabelen'!$B:$C,2,FALSE)</f>
        <v>4.8000000000000001E-2</v>
      </c>
      <c r="D176" s="120">
        <v>2022</v>
      </c>
      <c r="E176" s="125" t="s">
        <v>10</v>
      </c>
      <c r="F176" s="250" t="str">
        <f>VLOOKUP(G176,'Input keuzevariabelen'!$F:$J,2,FALSE)</f>
        <v>bt</v>
      </c>
      <c r="G176" s="96" t="s">
        <v>34</v>
      </c>
      <c r="H176" s="236">
        <v>5188</v>
      </c>
      <c r="I176" s="211">
        <f t="shared" si="6"/>
        <v>249.024</v>
      </c>
      <c r="J176" s="252" t="str">
        <f>VLOOKUP(G176,'Input keuzevariabelen'!$F:$J,3,FALSE)</f>
        <v>km</v>
      </c>
      <c r="K176" s="252">
        <f>SUMIFS('Input keuzevariabelen'!$I:$I,'Input keuzevariabelen'!$F:$F,Data!G176,'Input keuzevariabelen'!$K:$K,Data!D176)</f>
        <v>234</v>
      </c>
      <c r="L176" s="91" t="str">
        <f>VLOOKUP(G176,'Input keuzevariabelen'!$F:$J,5,FALSE)</f>
        <v>gram CO2/km</v>
      </c>
      <c r="M176" s="209">
        <f t="shared" si="7"/>
        <v>5.8271616000000005E-2</v>
      </c>
      <c r="N176" s="99" t="s">
        <v>162</v>
      </c>
      <c r="O176" s="99"/>
      <c r="P176" s="100" t="s">
        <v>161</v>
      </c>
      <c r="Q176" s="91">
        <f>SUMIFS('Input keuzevariabelen'!$P:$P,'Input keuzevariabelen'!$M:$M,Data!G176)</f>
        <v>0</v>
      </c>
      <c r="R176" s="212">
        <f t="shared" si="8"/>
        <v>0</v>
      </c>
    </row>
    <row r="177" spans="2:18" ht="17.399999999999999" thickTop="1" thickBot="1" x14ac:dyDescent="0.35">
      <c r="B177" s="124" t="s">
        <v>159</v>
      </c>
      <c r="C177" s="270">
        <f>VLOOKUP(B177,'Input keuzevariabelen'!$B:$C,2,FALSE)</f>
        <v>4.8000000000000001E-2</v>
      </c>
      <c r="D177" s="120">
        <v>2022</v>
      </c>
      <c r="E177" s="125" t="s">
        <v>10</v>
      </c>
      <c r="F177" s="250" t="str">
        <f>VLOOKUP(G177,'Input keuzevariabelen'!$F:$J,2,FALSE)</f>
        <v>bt</v>
      </c>
      <c r="G177" s="96" t="s">
        <v>35</v>
      </c>
      <c r="H177" s="236">
        <v>4363</v>
      </c>
      <c r="I177" s="211">
        <f t="shared" si="6"/>
        <v>209.42400000000001</v>
      </c>
      <c r="J177" s="252" t="str">
        <f>VLOOKUP(G177,'Input keuzevariabelen'!$F:$J,3,FALSE)</f>
        <v>km</v>
      </c>
      <c r="K177" s="252">
        <f>SUMIFS('Input keuzevariabelen'!$I:$I,'Input keuzevariabelen'!$F:$F,Data!G177,'Input keuzevariabelen'!$K:$K,Data!D177)</f>
        <v>172</v>
      </c>
      <c r="L177" s="91" t="str">
        <f>VLOOKUP(G177,'Input keuzevariabelen'!$F:$J,5,FALSE)</f>
        <v>gram CO2/km</v>
      </c>
      <c r="M177" s="209">
        <f t="shared" si="7"/>
        <v>3.6020928000000001E-2</v>
      </c>
      <c r="N177" s="99" t="s">
        <v>162</v>
      </c>
      <c r="O177" s="99"/>
      <c r="P177" s="100" t="s">
        <v>161</v>
      </c>
      <c r="Q177" s="91">
        <f>SUMIFS('Input keuzevariabelen'!$P:$P,'Input keuzevariabelen'!$M:$M,Data!G177)</f>
        <v>0</v>
      </c>
      <c r="R177" s="212">
        <f t="shared" si="8"/>
        <v>0</v>
      </c>
    </row>
    <row r="178" spans="2:18" s="20" customFormat="1" ht="17.399999999999999" thickTop="1" thickBot="1" x14ac:dyDescent="0.35">
      <c r="B178" s="261" t="s">
        <v>8</v>
      </c>
      <c r="C178" s="262">
        <f>VLOOKUP(B178,'Input keuzevariabelen'!$B:$C,2,FALSE)</f>
        <v>1</v>
      </c>
      <c r="D178" s="91">
        <v>2023</v>
      </c>
      <c r="E178" s="263" t="s">
        <v>10</v>
      </c>
      <c r="F178" s="250" t="str">
        <f>VLOOKUP(G178,'Input keuzevariabelen'!$F:$J,2,FALSE)</f>
        <v>KPI</v>
      </c>
      <c r="G178" s="93" t="s">
        <v>99</v>
      </c>
      <c r="H178" s="264">
        <v>156292</v>
      </c>
      <c r="I178" s="265">
        <f t="shared" ref="I178:I220" si="9">H178*C178</f>
        <v>156292</v>
      </c>
      <c r="J178" s="252" t="str">
        <f>J189</f>
        <v>m3</v>
      </c>
      <c r="K178" s="252">
        <f>SUMIFS('Input keuzevariabelen'!$I:$I,'Input keuzevariabelen'!$F:$F,Data!G178,'Input keuzevariabelen'!$K:$K,Data!D178)</f>
        <v>0</v>
      </c>
      <c r="L178" s="254">
        <f>VLOOKUP(G178,'Input keuzevariabelen'!$F:$J,5,FALSE)</f>
        <v>0</v>
      </c>
      <c r="M178" s="266">
        <f t="shared" ref="M178:M227" si="10">I178*K178/1000000</f>
        <v>0</v>
      </c>
      <c r="N178" s="267" t="s">
        <v>163</v>
      </c>
      <c r="O178" s="267"/>
      <c r="P178" s="268"/>
      <c r="Q178" s="91">
        <f>SUMIFS('Input keuzevariabelen'!$P:$P,'Input keuzevariabelen'!$M:$M,Data!G178)</f>
        <v>0</v>
      </c>
      <c r="R178" s="269">
        <f t="shared" ref="R178:R227" si="11">I178*Q178</f>
        <v>0</v>
      </c>
    </row>
    <row r="179" spans="2:18" ht="17.399999999999999" thickTop="1" thickBot="1" x14ac:dyDescent="0.35">
      <c r="B179" s="124" t="s">
        <v>8</v>
      </c>
      <c r="C179" s="247">
        <f>VLOOKUP(B179,'Input keuzevariabelen'!$B:$C,2,FALSE)</f>
        <v>1</v>
      </c>
      <c r="D179" s="120">
        <v>2023</v>
      </c>
      <c r="E179" s="125" t="s">
        <v>10</v>
      </c>
      <c r="F179" s="250">
        <f>VLOOKUP(G179,'Input keuzevariabelen'!$F:$J,2,FALSE)</f>
        <v>2</v>
      </c>
      <c r="G179" s="96" t="s">
        <v>27</v>
      </c>
      <c r="H179" s="233">
        <v>7364994</v>
      </c>
      <c r="I179" s="211">
        <f t="shared" si="9"/>
        <v>7364994</v>
      </c>
      <c r="J179" s="252" t="str">
        <f>VLOOKUP(G179,'Input keuzevariabelen'!$F:$J,3,FALSE)</f>
        <v>kWh</v>
      </c>
      <c r="K179" s="252">
        <f>SUMIFS('Input keuzevariabelen'!$I:$I,'Input keuzevariabelen'!$F:$F,Data!G179,'Input keuzevariabelen'!$K:$K,Data!D179)</f>
        <v>0</v>
      </c>
      <c r="L179" s="254" t="str">
        <f>VLOOKUP(G179,'Input keuzevariabelen'!$F:$J,5,FALSE)</f>
        <v>gram CO2/kWh</v>
      </c>
      <c r="M179" s="257">
        <f t="shared" si="10"/>
        <v>0</v>
      </c>
      <c r="N179" s="99" t="s">
        <v>164</v>
      </c>
      <c r="O179" s="99"/>
      <c r="P179" s="100" t="s">
        <v>103</v>
      </c>
      <c r="Q179" s="91">
        <f>SUMIFS('Input keuzevariabelen'!$P:$P,'Input keuzevariabelen'!$M:$M,Data!G179)</f>
        <v>5.2199999999999998E-3</v>
      </c>
      <c r="R179" s="212">
        <f t="shared" si="11"/>
        <v>38445.268680000001</v>
      </c>
    </row>
    <row r="180" spans="2:18" ht="17.399999999999999" thickTop="1" thickBot="1" x14ac:dyDescent="0.35">
      <c r="B180" s="124" t="s">
        <v>8</v>
      </c>
      <c r="C180" s="247">
        <f>VLOOKUP(B180,'Input keuzevariabelen'!$B:$C,2,FALSE)</f>
        <v>1</v>
      </c>
      <c r="D180" s="120">
        <v>2023</v>
      </c>
      <c r="E180" s="125" t="s">
        <v>10</v>
      </c>
      <c r="F180" s="250">
        <f>VLOOKUP(G180,'Input keuzevariabelen'!$F:$J,2,FALSE)</f>
        <v>2</v>
      </c>
      <c r="G180" s="96" t="s">
        <v>27</v>
      </c>
      <c r="H180" s="233">
        <v>534024</v>
      </c>
      <c r="I180" s="211">
        <f t="shared" si="9"/>
        <v>534024</v>
      </c>
      <c r="J180" s="252" t="str">
        <f>VLOOKUP(G180,'Input keuzevariabelen'!$F:$J,3,FALSE)</f>
        <v>kWh</v>
      </c>
      <c r="K180" s="252">
        <f>SUMIFS('Input keuzevariabelen'!$I:$I,'Input keuzevariabelen'!$F:$F,Data!G180,'Input keuzevariabelen'!$K:$K,Data!D180)</f>
        <v>0</v>
      </c>
      <c r="L180" s="254" t="str">
        <f>VLOOKUP(G180,'Input keuzevariabelen'!$F:$J,5,FALSE)</f>
        <v>gram CO2/kWh</v>
      </c>
      <c r="M180" s="257">
        <f t="shared" ref="M180" si="12">I180*K180/1000000</f>
        <v>0</v>
      </c>
      <c r="N180" s="99" t="s">
        <v>164</v>
      </c>
      <c r="O180" s="99"/>
      <c r="P180" s="100" t="str">
        <f>P132</f>
        <v>Facilitair</v>
      </c>
      <c r="Q180" s="91">
        <f>SUMIFS('Input keuzevariabelen'!$P:$P,'Input keuzevariabelen'!$M:$M,Data!G180)</f>
        <v>5.2199999999999998E-3</v>
      </c>
      <c r="R180" s="212"/>
    </row>
    <row r="181" spans="2:18" ht="17.399999999999999" thickTop="1" thickBot="1" x14ac:dyDescent="0.35">
      <c r="B181" s="124" t="s">
        <v>8</v>
      </c>
      <c r="C181" s="247">
        <f>VLOOKUP(B181,'Input keuzevariabelen'!$B:$C,2,FALSE)</f>
        <v>1</v>
      </c>
      <c r="D181" s="120">
        <v>2023</v>
      </c>
      <c r="E181" s="125" t="s">
        <v>10</v>
      </c>
      <c r="F181" s="250">
        <f>VLOOKUP(G181,'Input keuzevariabelen'!$F:$J,2,FALSE)</f>
        <v>2</v>
      </c>
      <c r="G181" s="96" t="s">
        <v>27</v>
      </c>
      <c r="H181" s="233">
        <v>3136086</v>
      </c>
      <c r="I181" s="211">
        <f t="shared" si="9"/>
        <v>3136086</v>
      </c>
      <c r="J181" s="252" t="str">
        <f>VLOOKUP(G181,'Input keuzevariabelen'!$F:$J,3,FALSE)</f>
        <v>kWh</v>
      </c>
      <c r="K181" s="252">
        <f>SUMIFS('Input keuzevariabelen'!$I:$I,'Input keuzevariabelen'!$F:$F,Data!G181,'Input keuzevariabelen'!$K:$K,Data!D181)</f>
        <v>0</v>
      </c>
      <c r="L181" s="254" t="str">
        <f>VLOOKUP(G181,'Input keuzevariabelen'!$F:$J,5,FALSE)</f>
        <v>gram CO2/kWh</v>
      </c>
      <c r="M181" s="257">
        <f t="shared" si="10"/>
        <v>0</v>
      </c>
      <c r="N181" s="99" t="s">
        <v>164</v>
      </c>
      <c r="O181" s="99"/>
      <c r="P181" s="100" t="s">
        <v>105</v>
      </c>
      <c r="Q181" s="91">
        <f>SUMIFS('Input keuzevariabelen'!$P:$P,'Input keuzevariabelen'!$M:$M,Data!G181)</f>
        <v>5.2199999999999998E-3</v>
      </c>
      <c r="R181" s="212">
        <f t="shared" si="11"/>
        <v>16370.368919999999</v>
      </c>
    </row>
    <row r="182" spans="2:18" ht="17.399999999999999" thickTop="1" thickBot="1" x14ac:dyDescent="0.35">
      <c r="B182" s="124" t="s">
        <v>8</v>
      </c>
      <c r="C182" s="247">
        <f>VLOOKUP(B182,'Input keuzevariabelen'!$B:$C,2,FALSE)</f>
        <v>1</v>
      </c>
      <c r="D182" s="120">
        <v>2023</v>
      </c>
      <c r="E182" s="125" t="s">
        <v>10</v>
      </c>
      <c r="F182" s="250">
        <f>VLOOKUP(G182,'Input keuzevariabelen'!$F:$J,2,FALSE)</f>
        <v>2</v>
      </c>
      <c r="G182" s="96" t="s">
        <v>27</v>
      </c>
      <c r="H182" s="233">
        <v>18130410</v>
      </c>
      <c r="I182" s="211">
        <f t="shared" si="9"/>
        <v>18130410</v>
      </c>
      <c r="J182" s="252" t="str">
        <f>VLOOKUP(G182,'Input keuzevariabelen'!$F:$J,3,FALSE)</f>
        <v>kWh</v>
      </c>
      <c r="K182" s="252">
        <f>SUMIFS('Input keuzevariabelen'!$I:$I,'Input keuzevariabelen'!$F:$F,Data!G182,'Input keuzevariabelen'!$K:$K,Data!D182)</f>
        <v>0</v>
      </c>
      <c r="L182" s="254" t="str">
        <f>VLOOKUP(G182,'Input keuzevariabelen'!$F:$J,5,FALSE)</f>
        <v>gram CO2/kWh</v>
      </c>
      <c r="M182" s="257">
        <f t="shared" si="10"/>
        <v>0</v>
      </c>
      <c r="N182" s="99" t="s">
        <v>164</v>
      </c>
      <c r="O182" s="99"/>
      <c r="P182" s="100" t="s">
        <v>107</v>
      </c>
      <c r="Q182" s="91">
        <f>SUMIFS('Input keuzevariabelen'!$P:$P,'Input keuzevariabelen'!$M:$M,Data!G182)</f>
        <v>5.2199999999999998E-3</v>
      </c>
      <c r="R182" s="212">
        <f t="shared" si="11"/>
        <v>94640.7402</v>
      </c>
    </row>
    <row r="183" spans="2:18" ht="17.399999999999999" thickTop="1" thickBot="1" x14ac:dyDescent="0.35">
      <c r="B183" s="124" t="s">
        <v>8</v>
      </c>
      <c r="C183" s="247">
        <f>VLOOKUP(B183,'Input keuzevariabelen'!$B:$C,2,FALSE)</f>
        <v>1</v>
      </c>
      <c r="D183" s="120">
        <v>2023</v>
      </c>
      <c r="E183" s="125" t="s">
        <v>10</v>
      </c>
      <c r="F183" s="250">
        <f>VLOOKUP(G183,'Input keuzevariabelen'!$F:$J,2,FALSE)</f>
        <v>2</v>
      </c>
      <c r="G183" s="96" t="s">
        <v>27</v>
      </c>
      <c r="H183" s="233">
        <v>8921418</v>
      </c>
      <c r="I183" s="211">
        <f t="shared" si="9"/>
        <v>8921418</v>
      </c>
      <c r="J183" s="252" t="str">
        <f>VLOOKUP(G183,'Input keuzevariabelen'!$F:$J,3,FALSE)</f>
        <v>kWh</v>
      </c>
      <c r="K183" s="252">
        <f>SUMIFS('Input keuzevariabelen'!$I:$I,'Input keuzevariabelen'!$F:$F,Data!G183,'Input keuzevariabelen'!$K:$K,Data!D183)</f>
        <v>0</v>
      </c>
      <c r="L183" s="254" t="str">
        <f>VLOOKUP(G183,'Input keuzevariabelen'!$F:$J,5,FALSE)</f>
        <v>gram CO2/kWh</v>
      </c>
      <c r="M183" s="257">
        <f t="shared" si="10"/>
        <v>0</v>
      </c>
      <c r="N183" s="99" t="s">
        <v>164</v>
      </c>
      <c r="O183" s="99"/>
      <c r="P183" s="100" t="s">
        <v>108</v>
      </c>
      <c r="Q183" s="91">
        <f>SUMIFS('Input keuzevariabelen'!$P:$P,'Input keuzevariabelen'!$M:$M,Data!G183)</f>
        <v>5.2199999999999998E-3</v>
      </c>
      <c r="R183" s="212">
        <f t="shared" si="11"/>
        <v>46569.801959999997</v>
      </c>
    </row>
    <row r="184" spans="2:18" ht="17.399999999999999" thickTop="1" thickBot="1" x14ac:dyDescent="0.35">
      <c r="B184" s="124" t="s">
        <v>8</v>
      </c>
      <c r="C184" s="247">
        <f>VLOOKUP(B184,'Input keuzevariabelen'!$B:$C,2,FALSE)</f>
        <v>1</v>
      </c>
      <c r="D184" s="120">
        <v>2023</v>
      </c>
      <c r="E184" s="125" t="s">
        <v>10</v>
      </c>
      <c r="F184" s="250">
        <f>VLOOKUP(G184,'Input keuzevariabelen'!$F:$J,2,FALSE)</f>
        <v>2</v>
      </c>
      <c r="G184" s="96" t="s">
        <v>27</v>
      </c>
      <c r="H184" s="233">
        <v>38684476</v>
      </c>
      <c r="I184" s="211">
        <f t="shared" si="9"/>
        <v>38684476</v>
      </c>
      <c r="J184" s="252" t="str">
        <f>VLOOKUP(G184,'Input keuzevariabelen'!$F:$J,3,FALSE)</f>
        <v>kWh</v>
      </c>
      <c r="K184" s="252">
        <f>SUMIFS('Input keuzevariabelen'!$I:$I,'Input keuzevariabelen'!$F:$F,Data!G184,'Input keuzevariabelen'!$K:$K,Data!D184)</f>
        <v>0</v>
      </c>
      <c r="L184" s="254" t="str">
        <f>VLOOKUP(G184,'Input keuzevariabelen'!$F:$J,5,FALSE)</f>
        <v>gram CO2/kWh</v>
      </c>
      <c r="M184" s="257">
        <f t="shared" si="10"/>
        <v>0</v>
      </c>
      <c r="N184" s="99" t="s">
        <v>164</v>
      </c>
      <c r="O184" s="99"/>
      <c r="P184" s="100" t="s">
        <v>110</v>
      </c>
      <c r="Q184" s="91">
        <f>SUMIFS('Input keuzevariabelen'!$P:$P,'Input keuzevariabelen'!$M:$M,Data!G184)</f>
        <v>5.2199999999999998E-3</v>
      </c>
      <c r="R184" s="212">
        <f t="shared" si="11"/>
        <v>201932.96471999999</v>
      </c>
    </row>
    <row r="185" spans="2:18" ht="17.399999999999999" thickTop="1" thickBot="1" x14ac:dyDescent="0.35">
      <c r="B185" s="124" t="s">
        <v>8</v>
      </c>
      <c r="C185" s="247">
        <f>VLOOKUP(B185,'Input keuzevariabelen'!$B:$C,2,FALSE)</f>
        <v>1</v>
      </c>
      <c r="D185" s="120">
        <v>2023</v>
      </c>
      <c r="E185" s="125" t="s">
        <v>10</v>
      </c>
      <c r="F185" s="250">
        <f>VLOOKUP(G185,'Input keuzevariabelen'!$F:$J,2,FALSE)</f>
        <v>2</v>
      </c>
      <c r="G185" s="96" t="s">
        <v>27</v>
      </c>
      <c r="H185" s="233">
        <f xml:space="preserve"> 33235-4343</f>
        <v>28892</v>
      </c>
      <c r="I185" s="211">
        <f t="shared" si="9"/>
        <v>28892</v>
      </c>
      <c r="J185" s="252" t="str">
        <f>VLOOKUP(G185,'Input keuzevariabelen'!$F:$J,3,FALSE)</f>
        <v>kWh</v>
      </c>
      <c r="K185" s="252">
        <f>SUMIFS('Input keuzevariabelen'!$I:$I,'Input keuzevariabelen'!$F:$F,Data!G185,'Input keuzevariabelen'!$K:$K,Data!D185)</f>
        <v>0</v>
      </c>
      <c r="L185" s="254" t="str">
        <f>VLOOKUP(G185,'Input keuzevariabelen'!$F:$J,5,FALSE)</f>
        <v>gram CO2/kWh</v>
      </c>
      <c r="M185" s="257">
        <f t="shared" si="10"/>
        <v>0</v>
      </c>
      <c r="N185" s="99" t="s">
        <v>164</v>
      </c>
      <c r="O185" s="99"/>
      <c r="P185" s="100" t="s">
        <v>110</v>
      </c>
      <c r="Q185" s="91">
        <f>SUMIFS('Input keuzevariabelen'!$P:$P,'Input keuzevariabelen'!$M:$M,Data!G185)</f>
        <v>5.2199999999999998E-3</v>
      </c>
      <c r="R185" s="212">
        <f t="shared" si="11"/>
        <v>150.81623999999999</v>
      </c>
    </row>
    <row r="186" spans="2:18" ht="17.399999999999999" thickTop="1" thickBot="1" x14ac:dyDescent="0.35">
      <c r="B186" s="124" t="s">
        <v>8</v>
      </c>
      <c r="C186" s="247">
        <f>VLOOKUP(B186,'Input keuzevariabelen'!$B:$C,2,FALSE)</f>
        <v>1</v>
      </c>
      <c r="D186" s="120">
        <v>2023</v>
      </c>
      <c r="E186" s="125" t="s">
        <v>10</v>
      </c>
      <c r="F186" s="250">
        <f>VLOOKUP(G186,'Input keuzevariabelen'!$F:$J,2,FALSE)</f>
        <v>1</v>
      </c>
      <c r="G186" s="96" t="s">
        <v>18</v>
      </c>
      <c r="H186" s="233">
        <v>47111</v>
      </c>
      <c r="I186" s="211">
        <f>H186*C187</f>
        <v>47111</v>
      </c>
      <c r="J186" s="252" t="str">
        <f>VLOOKUP(G186,'Input keuzevariabelen'!$F:$J,3,FALSE)</f>
        <v>m3</v>
      </c>
      <c r="K186" s="252">
        <f>SUMIFS('Input keuzevariabelen'!$I:$I,'Input keuzevariabelen'!$F:$F,Data!G186,'Input keuzevariabelen'!$K:$K,Data!D186)</f>
        <v>2079</v>
      </c>
      <c r="L186" s="254" t="str">
        <f>VLOOKUP(G186,'Input keuzevariabelen'!$F:$J,5,FALSE)</f>
        <v>gram CO2/m3</v>
      </c>
      <c r="M186" s="257">
        <f>I186*K186/1000000</f>
        <v>97.943769000000003</v>
      </c>
      <c r="N186" s="99" t="s">
        <v>164</v>
      </c>
      <c r="O186" s="125"/>
      <c r="P186" s="100" t="str">
        <f>P180</f>
        <v>Facilitair</v>
      </c>
      <c r="Q186" s="91">
        <f>SUMIFS('Input keuzevariabelen'!$P:$P,'Input keuzevariabelen'!$M:$M,Data!G186)</f>
        <v>3.1649999999999998E-2</v>
      </c>
      <c r="R186" s="212"/>
    </row>
    <row r="187" spans="2:18" ht="17.399999999999999" thickTop="1" thickBot="1" x14ac:dyDescent="0.35">
      <c r="B187" s="124" t="s">
        <v>8</v>
      </c>
      <c r="C187" s="247">
        <f>VLOOKUP(B187,'Input keuzevariabelen'!$B:$C,2,FALSE)</f>
        <v>1</v>
      </c>
      <c r="D187" s="120">
        <v>2023</v>
      </c>
      <c r="E187" s="125" t="s">
        <v>10</v>
      </c>
      <c r="F187" s="250">
        <f>VLOOKUP(G187,'Input keuzevariabelen'!$F:$J,2,FALSE)</f>
        <v>1</v>
      </c>
      <c r="G187" s="96" t="s">
        <v>18</v>
      </c>
      <c r="H187" s="233">
        <v>0</v>
      </c>
      <c r="J187" s="252" t="str">
        <f>VLOOKUP(G187,'Input keuzevariabelen'!$F:$J,3,FALSE)</f>
        <v>m3</v>
      </c>
      <c r="K187" s="252">
        <f>SUMIFS('Input keuzevariabelen'!$I:$I,'Input keuzevariabelen'!$F:$F,Data!G187,'Input keuzevariabelen'!$K:$K,Data!D187)</f>
        <v>2079</v>
      </c>
      <c r="L187" s="254" t="str">
        <f>VLOOKUP(G187,'Input keuzevariabelen'!$F:$J,5,FALSE)</f>
        <v>gram CO2/m3</v>
      </c>
      <c r="M187" s="257">
        <f t="shared" si="10"/>
        <v>0</v>
      </c>
      <c r="N187" s="99" t="s">
        <v>164</v>
      </c>
      <c r="O187" s="100"/>
      <c r="P187" s="100" t="s">
        <v>103</v>
      </c>
      <c r="Q187" s="91">
        <f>SUMIFS('Input keuzevariabelen'!$P:$P,'Input keuzevariabelen'!$M:$M,Data!G187)</f>
        <v>3.1649999999999998E-2</v>
      </c>
      <c r="R187" s="212">
        <f>I186*Q187</f>
        <v>1491.06315</v>
      </c>
    </row>
    <row r="188" spans="2:18" ht="17.399999999999999" thickTop="1" thickBot="1" x14ac:dyDescent="0.35">
      <c r="B188" s="124" t="s">
        <v>8</v>
      </c>
      <c r="C188" s="247">
        <f>VLOOKUP(B188,'Input keuzevariabelen'!$B:$C,2,FALSE)</f>
        <v>1</v>
      </c>
      <c r="D188" s="120">
        <v>2023</v>
      </c>
      <c r="E188" s="125" t="s">
        <v>10</v>
      </c>
      <c r="F188" s="250">
        <f>VLOOKUP(G188,'Input keuzevariabelen'!$F:$J,2,FALSE)</f>
        <v>1</v>
      </c>
      <c r="G188" s="96" t="s">
        <v>18</v>
      </c>
      <c r="H188" s="233">
        <v>6655</v>
      </c>
      <c r="I188" s="211">
        <f t="shared" si="9"/>
        <v>6655</v>
      </c>
      <c r="J188" s="252" t="str">
        <f>VLOOKUP(G188,'Input keuzevariabelen'!$F:$J,3,FALSE)</f>
        <v>m3</v>
      </c>
      <c r="K188" s="252">
        <f>SUMIFS('Input keuzevariabelen'!$I:$I,'Input keuzevariabelen'!$F:$F,Data!G188,'Input keuzevariabelen'!$K:$K,Data!D188)</f>
        <v>2079</v>
      </c>
      <c r="L188" s="254" t="str">
        <f>VLOOKUP(G188,'Input keuzevariabelen'!$F:$J,5,FALSE)</f>
        <v>gram CO2/m3</v>
      </c>
      <c r="M188" s="257">
        <f t="shared" si="10"/>
        <v>13.835744999999999</v>
      </c>
      <c r="N188" s="99" t="s">
        <v>164</v>
      </c>
      <c r="O188" s="99"/>
      <c r="P188" s="100" t="s">
        <v>105</v>
      </c>
      <c r="Q188" s="91">
        <f>SUMIFS('Input keuzevariabelen'!$P:$P,'Input keuzevariabelen'!$M:$M,Data!G188)</f>
        <v>3.1649999999999998E-2</v>
      </c>
      <c r="R188" s="212">
        <f t="shared" si="11"/>
        <v>210.63074999999998</v>
      </c>
    </row>
    <row r="189" spans="2:18" ht="17.399999999999999" thickTop="1" thickBot="1" x14ac:dyDescent="0.35">
      <c r="B189" s="124" t="s">
        <v>8</v>
      </c>
      <c r="C189" s="247">
        <f>VLOOKUP(B189,'Input keuzevariabelen'!$B:$C,2,FALSE)</f>
        <v>1</v>
      </c>
      <c r="D189" s="120">
        <v>2023</v>
      </c>
      <c r="E189" s="125" t="s">
        <v>10</v>
      </c>
      <c r="F189" s="250">
        <f>VLOOKUP(G189,'Input keuzevariabelen'!$F:$J,2,FALSE)</f>
        <v>1</v>
      </c>
      <c r="G189" s="96" t="s">
        <v>18</v>
      </c>
      <c r="H189" s="233">
        <v>43677</v>
      </c>
      <c r="I189" s="211">
        <f t="shared" si="9"/>
        <v>43677</v>
      </c>
      <c r="J189" s="252" t="str">
        <f>VLOOKUP(G189,'Input keuzevariabelen'!$F:$J,3,FALSE)</f>
        <v>m3</v>
      </c>
      <c r="K189" s="252">
        <f>SUMIFS('Input keuzevariabelen'!$I:$I,'Input keuzevariabelen'!$F:$F,Data!G189,'Input keuzevariabelen'!$K:$K,Data!D189)</f>
        <v>2079</v>
      </c>
      <c r="L189" s="254" t="str">
        <f>VLOOKUP(G189,'Input keuzevariabelen'!$F:$J,5,FALSE)</f>
        <v>gram CO2/m3</v>
      </c>
      <c r="M189" s="257">
        <f t="shared" si="10"/>
        <v>90.804483000000005</v>
      </c>
      <c r="N189" s="99" t="s">
        <v>164</v>
      </c>
      <c r="O189" s="99"/>
      <c r="P189" s="100" t="s">
        <v>107</v>
      </c>
      <c r="Q189" s="91">
        <f>SUMIFS('Input keuzevariabelen'!$P:$P,'Input keuzevariabelen'!$M:$M,Data!G189)</f>
        <v>3.1649999999999998E-2</v>
      </c>
      <c r="R189" s="212">
        <f t="shared" si="11"/>
        <v>1382.3770499999998</v>
      </c>
    </row>
    <row r="190" spans="2:18" ht="17.399999999999999" thickTop="1" thickBot="1" x14ac:dyDescent="0.35">
      <c r="B190" s="124" t="s">
        <v>8</v>
      </c>
      <c r="C190" s="247">
        <f>VLOOKUP(B190,'Input keuzevariabelen'!$B:$C,2,FALSE)</f>
        <v>1</v>
      </c>
      <c r="D190" s="120">
        <v>2023</v>
      </c>
      <c r="E190" s="125" t="s">
        <v>10</v>
      </c>
      <c r="F190" s="250">
        <f>VLOOKUP(G190,'Input keuzevariabelen'!$F:$J,2,FALSE)</f>
        <v>1</v>
      </c>
      <c r="G190" s="96" t="s">
        <v>18</v>
      </c>
      <c r="H190" s="233">
        <v>455720</v>
      </c>
      <c r="I190" s="211">
        <f>H190*C190</f>
        <v>455720</v>
      </c>
      <c r="J190" s="252" t="str">
        <f>VLOOKUP(G190,'Input keuzevariabelen'!$F:$J,3,FALSE)</f>
        <v>m3</v>
      </c>
      <c r="K190" s="252">
        <f>SUMIFS('Input keuzevariabelen'!$I:$I,'Input keuzevariabelen'!$F:$F,Data!G190,'Input keuzevariabelen'!$K:$K,Data!D190)</f>
        <v>2079</v>
      </c>
      <c r="L190" s="254" t="str">
        <f>VLOOKUP(G190,'Input keuzevariabelen'!$F:$J,5,FALSE)</f>
        <v>gram CO2/m3</v>
      </c>
      <c r="M190" s="257">
        <f t="shared" si="10"/>
        <v>947.44187999999997</v>
      </c>
      <c r="N190" s="99" t="s">
        <v>164</v>
      </c>
      <c r="O190" s="99"/>
      <c r="P190" s="100" t="s">
        <v>108</v>
      </c>
      <c r="Q190" s="91">
        <f>SUMIFS('Input keuzevariabelen'!$P:$P,'Input keuzevariabelen'!$M:$M,Data!G190)</f>
        <v>3.1649999999999998E-2</v>
      </c>
      <c r="R190" s="212">
        <f t="shared" si="11"/>
        <v>14423.537999999999</v>
      </c>
    </row>
    <row r="191" spans="2:18" ht="17.399999999999999" thickTop="1" thickBot="1" x14ac:dyDescent="0.35">
      <c r="B191" s="124" t="s">
        <v>8</v>
      </c>
      <c r="C191" s="247">
        <f>VLOOKUP(B191,'Input keuzevariabelen'!$B:$C,2,FALSE)</f>
        <v>1</v>
      </c>
      <c r="D191" s="120">
        <v>2023</v>
      </c>
      <c r="E191" s="125" t="s">
        <v>10</v>
      </c>
      <c r="F191" s="250">
        <f>VLOOKUP(G191,'Input keuzevariabelen'!$F:$J,2,FALSE)</f>
        <v>1</v>
      </c>
      <c r="G191" s="96" t="s">
        <v>18</v>
      </c>
      <c r="H191" s="233">
        <v>454501</v>
      </c>
      <c r="I191" s="211">
        <f t="shared" si="9"/>
        <v>454501</v>
      </c>
      <c r="J191" s="252" t="str">
        <f>VLOOKUP(G191,'Input keuzevariabelen'!$F:$J,3,FALSE)</f>
        <v>m3</v>
      </c>
      <c r="K191" s="252">
        <f>SUMIFS('Input keuzevariabelen'!$I:$I,'Input keuzevariabelen'!$F:$F,Data!G191,'Input keuzevariabelen'!$K:$K,Data!D191)</f>
        <v>2079</v>
      </c>
      <c r="L191" s="254" t="str">
        <f>VLOOKUP(G191,'Input keuzevariabelen'!$F:$J,5,FALSE)</f>
        <v>gram CO2/m3</v>
      </c>
      <c r="M191" s="257">
        <f t="shared" si="10"/>
        <v>944.90757900000006</v>
      </c>
      <c r="N191" s="99" t="s">
        <v>164</v>
      </c>
      <c r="O191" s="99"/>
      <c r="P191" s="100" t="s">
        <v>110</v>
      </c>
      <c r="Q191" s="91">
        <f>SUMIFS('Input keuzevariabelen'!$P:$P,'Input keuzevariabelen'!$M:$M,Data!G191)</f>
        <v>3.1649999999999998E-2</v>
      </c>
      <c r="R191" s="212">
        <f t="shared" si="11"/>
        <v>14384.956649999998</v>
      </c>
    </row>
    <row r="192" spans="2:18" ht="17.399999999999999" thickTop="1" thickBot="1" x14ac:dyDescent="0.35">
      <c r="B192" s="124" t="s">
        <v>8</v>
      </c>
      <c r="C192" s="247">
        <f>VLOOKUP(B192,'Input keuzevariabelen'!$B:$C,2,FALSE)</f>
        <v>1</v>
      </c>
      <c r="D192" s="120">
        <v>2023</v>
      </c>
      <c r="E192" s="125" t="s">
        <v>10</v>
      </c>
      <c r="F192" s="250" t="str">
        <f>VLOOKUP(G192,'Input keuzevariabelen'!$F:$J,2,FALSE)</f>
        <v>Memo</v>
      </c>
      <c r="G192" s="96" t="s">
        <v>42</v>
      </c>
      <c r="H192" s="233">
        <v>11958</v>
      </c>
      <c r="I192" s="211">
        <f t="shared" si="9"/>
        <v>11958</v>
      </c>
      <c r="J192" s="252" t="str">
        <f>VLOOKUP(G192,'Input keuzevariabelen'!$F:$J,3,FALSE)</f>
        <v>m3</v>
      </c>
      <c r="K192" s="252">
        <f>SUMIFS('Input keuzevariabelen'!$I:$I,'Input keuzevariabelen'!$F:$F,Data!G192,'Input keuzevariabelen'!$K:$K,Data!D192)</f>
        <v>1964</v>
      </c>
      <c r="L192" s="254" t="str">
        <f>VLOOKUP(G192,'Input keuzevariabelen'!$F:$J,5,FALSE)</f>
        <v>gram CO2/m3</v>
      </c>
      <c r="M192" s="257">
        <v>0</v>
      </c>
      <c r="N192" s="99" t="s">
        <v>164</v>
      </c>
      <c r="O192" s="99"/>
      <c r="P192" s="100" t="s">
        <v>107</v>
      </c>
      <c r="Q192" s="91">
        <f>SUMIFS('Input keuzevariabelen'!$P:$P,'Input keuzevariabelen'!$M:$M,Data!G192)</f>
        <v>0</v>
      </c>
      <c r="R192" s="212">
        <f t="shared" si="11"/>
        <v>0</v>
      </c>
    </row>
    <row r="193" spans="2:18" ht="17.399999999999999" thickTop="1" thickBot="1" x14ac:dyDescent="0.35">
      <c r="B193" s="124" t="s">
        <v>8</v>
      </c>
      <c r="C193" s="247">
        <f>VLOOKUP(B193,'Input keuzevariabelen'!$B:$C,2,FALSE)</f>
        <v>1</v>
      </c>
      <c r="D193" s="120">
        <v>2023</v>
      </c>
      <c r="E193" s="125" t="s">
        <v>10</v>
      </c>
      <c r="F193" s="250" t="str">
        <f>VLOOKUP(G193,'Input keuzevariabelen'!$F:$J,2,FALSE)</f>
        <v>Memo</v>
      </c>
      <c r="G193" s="96" t="s">
        <v>42</v>
      </c>
      <c r="H193" s="233">
        <v>36501</v>
      </c>
      <c r="I193" s="211">
        <f t="shared" si="9"/>
        <v>36501</v>
      </c>
      <c r="J193" s="252" t="str">
        <f>VLOOKUP(G193,'Input keuzevariabelen'!$F:$J,3,FALSE)</f>
        <v>m3</v>
      </c>
      <c r="K193" s="252">
        <f>SUMIFS('Input keuzevariabelen'!$I:$I,'Input keuzevariabelen'!$F:$F,Data!G193,'Input keuzevariabelen'!$K:$K,Data!D193)</f>
        <v>1964</v>
      </c>
      <c r="L193" s="254" t="str">
        <f>VLOOKUP(G193,'Input keuzevariabelen'!$F:$J,5,FALSE)</f>
        <v>gram CO2/m3</v>
      </c>
      <c r="M193" s="257">
        <v>0</v>
      </c>
      <c r="N193" s="99" t="s">
        <v>164</v>
      </c>
      <c r="O193" s="99"/>
      <c r="P193" s="100" t="s">
        <v>108</v>
      </c>
      <c r="Q193" s="91">
        <f>SUMIFS('Input keuzevariabelen'!$P:$P,'Input keuzevariabelen'!$M:$M,Data!G193)</f>
        <v>0</v>
      </c>
      <c r="R193" s="212">
        <f t="shared" si="11"/>
        <v>0</v>
      </c>
    </row>
    <row r="194" spans="2:18" ht="17.399999999999999" thickTop="1" thickBot="1" x14ac:dyDescent="0.35">
      <c r="B194" s="124" t="s">
        <v>8</v>
      </c>
      <c r="C194" s="247">
        <f>VLOOKUP(B194,'Input keuzevariabelen'!$B:$C,2,FALSE)</f>
        <v>1</v>
      </c>
      <c r="D194" s="120">
        <v>2023</v>
      </c>
      <c r="E194" s="125" t="s">
        <v>10</v>
      </c>
      <c r="F194" s="250" t="str">
        <f>VLOOKUP(G194,'Input keuzevariabelen'!$F:$J,2,FALSE)</f>
        <v>Memo</v>
      </c>
      <c r="G194" s="96" t="s">
        <v>42</v>
      </c>
      <c r="H194" s="233">
        <v>51034</v>
      </c>
      <c r="I194" s="211">
        <f t="shared" si="9"/>
        <v>51034</v>
      </c>
      <c r="J194" s="252" t="str">
        <f>VLOOKUP(G194,'Input keuzevariabelen'!$F:$J,3,FALSE)</f>
        <v>m3</v>
      </c>
      <c r="K194" s="252">
        <f>SUMIFS('Input keuzevariabelen'!$I:$I,'Input keuzevariabelen'!$F:$F,Data!G194,'Input keuzevariabelen'!$K:$K,Data!D194)</f>
        <v>1964</v>
      </c>
      <c r="L194" s="254" t="str">
        <f>VLOOKUP(G194,'Input keuzevariabelen'!$F:$J,5,FALSE)</f>
        <v>gram CO2/m3</v>
      </c>
      <c r="M194" s="257">
        <v>0</v>
      </c>
      <c r="N194" s="99" t="s">
        <v>164</v>
      </c>
      <c r="O194" s="99"/>
      <c r="P194" s="100" t="s">
        <v>110</v>
      </c>
      <c r="Q194" s="91">
        <f>SUMIFS('Input keuzevariabelen'!$P:$P,'Input keuzevariabelen'!$M:$M,Data!G194)</f>
        <v>0</v>
      </c>
      <c r="R194" s="212">
        <f t="shared" si="11"/>
        <v>0</v>
      </c>
    </row>
    <row r="195" spans="2:18" ht="17.399999999999999" thickTop="1" thickBot="1" x14ac:dyDescent="0.35">
      <c r="B195" s="124" t="s">
        <v>8</v>
      </c>
      <c r="C195" s="247">
        <f>VLOOKUP(B195,'Input keuzevariabelen'!$B:$C,2,FALSE)</f>
        <v>1</v>
      </c>
      <c r="D195" s="120">
        <v>2023</v>
      </c>
      <c r="E195" s="125" t="s">
        <v>10</v>
      </c>
      <c r="F195" s="250" t="str">
        <f>VLOOKUP(G195,'Input keuzevariabelen'!$F:$J,2,FALSE)</f>
        <v>Memo</v>
      </c>
      <c r="G195" s="96" t="s">
        <v>40</v>
      </c>
      <c r="H195" s="233">
        <v>0</v>
      </c>
      <c r="I195" s="211">
        <f t="shared" si="9"/>
        <v>0</v>
      </c>
      <c r="J195" s="252" t="str">
        <f>VLOOKUP(G195,'Input keuzevariabelen'!$F:$J,3,FALSE)</f>
        <v>m3</v>
      </c>
      <c r="K195" s="252">
        <f>SUMIFS('Input keuzevariabelen'!$I:$I,'Input keuzevariabelen'!$F:$F,Data!G195,'Input keuzevariabelen'!$K:$K,Data!D195)</f>
        <v>1964</v>
      </c>
      <c r="L195" s="254" t="str">
        <f>VLOOKUP(G195,'Input keuzevariabelen'!$F:$J,5,FALSE)</f>
        <v>gram CO2/m3</v>
      </c>
      <c r="M195" s="257">
        <f t="shared" si="10"/>
        <v>0</v>
      </c>
      <c r="N195" s="99" t="s">
        <v>164</v>
      </c>
      <c r="O195" s="99"/>
      <c r="P195" s="100" t="s">
        <v>105</v>
      </c>
      <c r="Q195" s="91">
        <f>SUMIFS('Input keuzevariabelen'!$P:$P,'Input keuzevariabelen'!$M:$M,Data!G195)</f>
        <v>0</v>
      </c>
      <c r="R195" s="212">
        <f t="shared" si="11"/>
        <v>0</v>
      </c>
    </row>
    <row r="196" spans="2:18" ht="17.399999999999999" thickTop="1" thickBot="1" x14ac:dyDescent="0.35">
      <c r="B196" s="124" t="s">
        <v>8</v>
      </c>
      <c r="C196" s="247">
        <f>VLOOKUP(B196,'Input keuzevariabelen'!$B:$C,2,FALSE)</f>
        <v>1</v>
      </c>
      <c r="D196" s="120">
        <v>2023</v>
      </c>
      <c r="E196" s="125" t="s">
        <v>10</v>
      </c>
      <c r="F196" s="250" t="str">
        <f>VLOOKUP(G196,'Input keuzevariabelen'!$F:$J,2,FALSE)</f>
        <v>Memo</v>
      </c>
      <c r="G196" s="96" t="s">
        <v>40</v>
      </c>
      <c r="H196" s="233">
        <v>1443</v>
      </c>
      <c r="I196" s="211">
        <f t="shared" si="9"/>
        <v>1443</v>
      </c>
      <c r="J196" s="252" t="str">
        <f>VLOOKUP(G196,'Input keuzevariabelen'!$F:$J,3,FALSE)</f>
        <v>m3</v>
      </c>
      <c r="K196" s="252">
        <f>SUMIFS('Input keuzevariabelen'!$I:$I,'Input keuzevariabelen'!$F:$F,Data!G196,'Input keuzevariabelen'!$K:$K,Data!D196)</f>
        <v>1964</v>
      </c>
      <c r="L196" s="254" t="str">
        <f>VLOOKUP(G196,'Input keuzevariabelen'!$F:$J,5,FALSE)</f>
        <v>gram CO2/m3</v>
      </c>
      <c r="M196" s="257">
        <v>0</v>
      </c>
      <c r="N196" s="99" t="s">
        <v>164</v>
      </c>
      <c r="O196" s="99"/>
      <c r="P196" s="100" t="s">
        <v>107</v>
      </c>
      <c r="Q196" s="91">
        <f>SUMIFS('Input keuzevariabelen'!$P:$P,'Input keuzevariabelen'!$M:$M,Data!G196)</f>
        <v>0</v>
      </c>
      <c r="R196" s="212">
        <f t="shared" si="11"/>
        <v>0</v>
      </c>
    </row>
    <row r="197" spans="2:18" ht="17.399999999999999" thickTop="1" thickBot="1" x14ac:dyDescent="0.35">
      <c r="B197" s="124" t="s">
        <v>8</v>
      </c>
      <c r="C197" s="247">
        <f>VLOOKUP(B197,'Input keuzevariabelen'!$B:$C,2,FALSE)</f>
        <v>1</v>
      </c>
      <c r="D197" s="120">
        <v>2023</v>
      </c>
      <c r="E197" s="125" t="s">
        <v>10</v>
      </c>
      <c r="F197" s="250" t="str">
        <f>VLOOKUP(G197,'Input keuzevariabelen'!$F:$J,2,FALSE)</f>
        <v>Memo</v>
      </c>
      <c r="G197" s="96" t="s">
        <v>40</v>
      </c>
      <c r="H197" s="233">
        <v>546140</v>
      </c>
      <c r="I197" s="211">
        <f t="shared" si="9"/>
        <v>546140</v>
      </c>
      <c r="J197" s="252" t="str">
        <f>VLOOKUP(G197,'Input keuzevariabelen'!$F:$J,3,FALSE)</f>
        <v>m3</v>
      </c>
      <c r="K197" s="252">
        <f>SUMIFS('Input keuzevariabelen'!$I:$I,'Input keuzevariabelen'!$F:$F,Data!G197,'Input keuzevariabelen'!$K:$K,Data!D197)</f>
        <v>1964</v>
      </c>
      <c r="L197" s="254" t="str">
        <f>VLOOKUP(G197,'Input keuzevariabelen'!$F:$J,5,FALSE)</f>
        <v>gram CO2/m3</v>
      </c>
      <c r="M197" s="257">
        <v>0</v>
      </c>
      <c r="N197" s="99" t="s">
        <v>164</v>
      </c>
      <c r="O197" s="99"/>
      <c r="P197" s="100" t="s">
        <v>110</v>
      </c>
      <c r="Q197" s="91">
        <f>SUMIFS('Input keuzevariabelen'!$P:$P,'Input keuzevariabelen'!$M:$M,Data!G197)</f>
        <v>0</v>
      </c>
      <c r="R197" s="212">
        <f t="shared" si="11"/>
        <v>0</v>
      </c>
    </row>
    <row r="198" spans="2:18" ht="17.399999999999999" thickTop="1" thickBot="1" x14ac:dyDescent="0.35">
      <c r="B198" s="124" t="s">
        <v>8</v>
      </c>
      <c r="C198" s="247">
        <f>VLOOKUP(B198,'Input keuzevariabelen'!$B:$C,2,FALSE)</f>
        <v>1</v>
      </c>
      <c r="D198" s="120">
        <v>2023</v>
      </c>
      <c r="E198" s="125" t="s">
        <v>10</v>
      </c>
      <c r="F198" s="250">
        <f>VLOOKUP(G198,'Input keuzevariabelen'!$F:$J,2,FALSE)</f>
        <v>1</v>
      </c>
      <c r="G198" s="96" t="s">
        <v>20</v>
      </c>
      <c r="H198" s="233">
        <v>1920</v>
      </c>
      <c r="I198" s="211">
        <f t="shared" si="9"/>
        <v>1920</v>
      </c>
      <c r="J198" s="252" t="str">
        <f>VLOOKUP(G198,'Input keuzevariabelen'!$F:$J,3,FALSE)</f>
        <v>liter</v>
      </c>
      <c r="K198" s="252">
        <f>SUMIFS('Input keuzevariabelen'!$I:$I,'Input keuzevariabelen'!$F:$F,Data!G198,'Input keuzevariabelen'!$K:$K,Data!D198)</f>
        <v>3256</v>
      </c>
      <c r="L198" s="254" t="str">
        <f>VLOOKUP(G198,'Input keuzevariabelen'!$F:$J,5,FALSE)</f>
        <v>gram CO2/liter</v>
      </c>
      <c r="M198" s="257">
        <f t="shared" si="10"/>
        <v>6.2515200000000002</v>
      </c>
      <c r="N198" s="99" t="s">
        <v>164</v>
      </c>
      <c r="O198" s="99"/>
      <c r="P198" s="100" t="s">
        <v>110</v>
      </c>
      <c r="Q198" s="91">
        <f>SUMIFS('Input keuzevariabelen'!$P:$P,'Input keuzevariabelen'!$M:$M,Data!G198)</f>
        <v>3.6299999999999999E-2</v>
      </c>
      <c r="R198" s="212">
        <f t="shared" si="11"/>
        <v>69.695999999999998</v>
      </c>
    </row>
    <row r="199" spans="2:18" ht="17.399999999999999" thickTop="1" thickBot="1" x14ac:dyDescent="0.35">
      <c r="B199" s="124" t="s">
        <v>8</v>
      </c>
      <c r="C199" s="247">
        <f>VLOOKUP(B199,'Input keuzevariabelen'!$B:$C,2,FALSE)</f>
        <v>1</v>
      </c>
      <c r="D199" s="120">
        <v>2023</v>
      </c>
      <c r="E199" s="125" t="s">
        <v>10</v>
      </c>
      <c r="F199" s="250">
        <f>VLOOKUP(G199,'Input keuzevariabelen'!$F:$J,2,FALSE)</f>
        <v>1</v>
      </c>
      <c r="G199" s="96" t="s">
        <v>22</v>
      </c>
      <c r="H199" s="233">
        <v>36329</v>
      </c>
      <c r="I199" s="211">
        <f t="shared" si="9"/>
        <v>36329</v>
      </c>
      <c r="J199" s="252" t="str">
        <f>VLOOKUP(G199,'Input keuzevariabelen'!$F:$J,3,FALSE)</f>
        <v>liter</v>
      </c>
      <c r="K199" s="252">
        <f>SUMIFS('Input keuzevariabelen'!$I:$I,'Input keuzevariabelen'!$F:$F,Data!G199,'Input keuzevariabelen'!$K:$K,Data!D199)</f>
        <v>2821</v>
      </c>
      <c r="L199" s="254" t="str">
        <f>VLOOKUP(G199,'Input keuzevariabelen'!$F:$J,5,FALSE)</f>
        <v>gram CO2/liter</v>
      </c>
      <c r="M199" s="257">
        <f t="shared" si="10"/>
        <v>102.484109</v>
      </c>
      <c r="N199" s="99" t="s">
        <v>165</v>
      </c>
      <c r="O199" s="99"/>
      <c r="P199" s="100"/>
      <c r="Q199" s="91">
        <f>SUMIFS('Input keuzevariabelen'!$P:$P,'Input keuzevariabelen'!$M:$M,Data!G199)</f>
        <v>3.1E-2</v>
      </c>
      <c r="R199" s="212">
        <f t="shared" si="11"/>
        <v>1126.1990000000001</v>
      </c>
    </row>
    <row r="200" spans="2:18" ht="17.399999999999999" thickTop="1" thickBot="1" x14ac:dyDescent="0.35">
      <c r="B200" s="124" t="s">
        <v>8</v>
      </c>
      <c r="C200" s="247">
        <f>VLOOKUP(B200,'Input keuzevariabelen'!$B:$C,2,FALSE)</f>
        <v>1</v>
      </c>
      <c r="D200" s="120">
        <v>2023</v>
      </c>
      <c r="E200" s="125" t="s">
        <v>10</v>
      </c>
      <c r="F200" s="250">
        <f>VLOOKUP(G200,'Input keuzevariabelen'!$F:$J,2,FALSE)</f>
        <v>1</v>
      </c>
      <c r="G200" s="96" t="s">
        <v>20</v>
      </c>
      <c r="H200" s="233">
        <v>24619</v>
      </c>
      <c r="I200" s="211">
        <f t="shared" si="9"/>
        <v>24619</v>
      </c>
      <c r="J200" s="252" t="str">
        <f>VLOOKUP(G200,'Input keuzevariabelen'!$F:$J,3,FALSE)</f>
        <v>liter</v>
      </c>
      <c r="K200" s="252">
        <f>SUMIFS('Input keuzevariabelen'!$I:$I,'Input keuzevariabelen'!$F:$F,Data!G200,'Input keuzevariabelen'!$K:$K,Data!D200)</f>
        <v>3256</v>
      </c>
      <c r="L200" s="254" t="str">
        <f>VLOOKUP(G200,'Input keuzevariabelen'!$F:$J,5,FALSE)</f>
        <v>gram CO2/liter</v>
      </c>
      <c r="M200" s="257">
        <f t="shared" si="10"/>
        <v>80.159464</v>
      </c>
      <c r="N200" s="99" t="s">
        <v>165</v>
      </c>
      <c r="O200" s="99"/>
      <c r="P200" s="100"/>
      <c r="Q200" s="91">
        <f>SUMIFS('Input keuzevariabelen'!$P:$P,'Input keuzevariabelen'!$M:$M,Data!G200)</f>
        <v>3.6299999999999999E-2</v>
      </c>
      <c r="R200" s="212">
        <f t="shared" si="11"/>
        <v>893.66969999999992</v>
      </c>
    </row>
    <row r="201" spans="2:18" ht="17.399999999999999" thickTop="1" thickBot="1" x14ac:dyDescent="0.35">
      <c r="B201" s="124" t="s">
        <v>8</v>
      </c>
      <c r="C201" s="247">
        <f>VLOOKUP(B201,'Input keuzevariabelen'!$B:$C,2,FALSE)</f>
        <v>1</v>
      </c>
      <c r="D201" s="120">
        <v>2023</v>
      </c>
      <c r="E201" s="125" t="s">
        <v>10</v>
      </c>
      <c r="F201" s="250">
        <f>VLOOKUP(G201,'Input keuzevariabelen'!$F:$J,2,FALSE)</f>
        <v>1</v>
      </c>
      <c r="G201" s="96" t="s">
        <v>152</v>
      </c>
      <c r="H201" s="233">
        <v>15341</v>
      </c>
      <c r="I201" s="211">
        <f t="shared" si="9"/>
        <v>15341</v>
      </c>
      <c r="J201" s="252" t="str">
        <f>VLOOKUP(G201,'Input keuzevariabelen'!$F:$J,3,FALSE)</f>
        <v>km</v>
      </c>
      <c r="K201" s="252">
        <f>SUMIFS('Input keuzevariabelen'!$I:$I,'Input keuzevariabelen'!$F:$F,Data!G201,'Input keuzevariabelen'!$K:$K,Data!D201)</f>
        <v>0</v>
      </c>
      <c r="L201" s="254" t="str">
        <f>VLOOKUP(G201,'Input keuzevariabelen'!$F:$J,5,FALSE)</f>
        <v>gram CO2/km</v>
      </c>
      <c r="M201" s="257">
        <f t="shared" si="10"/>
        <v>0</v>
      </c>
      <c r="N201" s="99" t="s">
        <v>165</v>
      </c>
      <c r="O201" s="99"/>
      <c r="P201" s="100" t="s">
        <v>153</v>
      </c>
      <c r="Q201" s="91">
        <f>SUMIFS('Input keuzevariabelen'!$P:$P,'Input keuzevariabelen'!$M:$M,Data!G201)</f>
        <v>0</v>
      </c>
      <c r="R201" s="212">
        <f t="shared" si="11"/>
        <v>0</v>
      </c>
    </row>
    <row r="202" spans="2:18" ht="17.399999999999999" thickTop="1" thickBot="1" x14ac:dyDescent="0.35">
      <c r="B202" s="124" t="s">
        <v>8</v>
      </c>
      <c r="C202" s="247">
        <f>VLOOKUP(B202,'Input keuzevariabelen'!$B:$C,2,FALSE)</f>
        <v>1</v>
      </c>
      <c r="D202" s="120">
        <v>2023</v>
      </c>
      <c r="E202" s="125" t="s">
        <v>10</v>
      </c>
      <c r="F202" s="250">
        <f>VLOOKUP(G202,'Input keuzevariabelen'!$F:$J,2,FALSE)</f>
        <v>2</v>
      </c>
      <c r="G202" s="96" t="s">
        <v>28</v>
      </c>
      <c r="H202" s="233">
        <v>5481</v>
      </c>
      <c r="I202" s="211">
        <f t="shared" ref="I202" si="13">H202*C202</f>
        <v>5481</v>
      </c>
      <c r="J202" s="252" t="str">
        <f>VLOOKUP(G202,'Input keuzevariabelen'!$F:$J,3,FALSE)</f>
        <v>kWh</v>
      </c>
      <c r="K202" s="252">
        <f>SUMIFS('Input keuzevariabelen'!$I:$I,'Input keuzevariabelen'!$F:$F,Data!G202,'Input keuzevariabelen'!$K:$K,Data!D202)</f>
        <v>456</v>
      </c>
      <c r="L202" s="254" t="str">
        <f>VLOOKUP(G202,'Input keuzevariabelen'!$F:$J,5,FALSE)</f>
        <v>gram CO2/kWh</v>
      </c>
      <c r="M202" s="257">
        <f t="shared" ref="M202" si="14">I202*K202/1000000</f>
        <v>2.499336</v>
      </c>
      <c r="N202" s="99" t="s">
        <v>165</v>
      </c>
      <c r="O202" s="99"/>
      <c r="P202" s="100" t="s">
        <v>166</v>
      </c>
      <c r="Q202" s="91"/>
      <c r="R202" s="212"/>
    </row>
    <row r="203" spans="2:18" ht="17.399999999999999" thickTop="1" thickBot="1" x14ac:dyDescent="0.35">
      <c r="B203" s="124" t="s">
        <v>8</v>
      </c>
      <c r="C203" s="247">
        <f>VLOOKUP(B203,'Input keuzevariabelen'!$B:$C,2,FALSE)</f>
        <v>1</v>
      </c>
      <c r="D203" s="120">
        <v>2023</v>
      </c>
      <c r="E203" s="125" t="s">
        <v>10</v>
      </c>
      <c r="F203" s="250" t="str">
        <f>VLOOKUP(G203,'Input keuzevariabelen'!$F:$J,2,FALSE)</f>
        <v>bt</v>
      </c>
      <c r="G203" s="96" t="s">
        <v>31</v>
      </c>
      <c r="H203" s="260">
        <v>291126</v>
      </c>
      <c r="I203" s="211">
        <f t="shared" si="9"/>
        <v>291126</v>
      </c>
      <c r="J203" s="252" t="str">
        <f>VLOOKUP(G203,'Input keuzevariabelen'!$F:$J,3,FALSE)</f>
        <v>km</v>
      </c>
      <c r="K203" s="252">
        <f>SUMIFS('Input keuzevariabelen'!$I:$I,'Input keuzevariabelen'!$F:$F,Data!G203,'Input keuzevariabelen'!$K:$K,Data!D203)</f>
        <v>193</v>
      </c>
      <c r="L203" s="254" t="str">
        <f>VLOOKUP(G203,'Input keuzevariabelen'!$F:$J,5,FALSE)</f>
        <v>gram CO2/km</v>
      </c>
      <c r="M203" s="257">
        <f t="shared" si="10"/>
        <v>56.187317999999998</v>
      </c>
      <c r="N203" s="99" t="s">
        <v>167</v>
      </c>
      <c r="O203" s="99"/>
      <c r="P203" s="100"/>
      <c r="Q203" s="91">
        <f>SUMIFS('Input keuzevariabelen'!$P:$P,'Input keuzevariabelen'!$M:$M,Data!G203)</f>
        <v>0</v>
      </c>
      <c r="R203" s="212">
        <f t="shared" si="11"/>
        <v>0</v>
      </c>
    </row>
    <row r="204" spans="2:18" ht="17.399999999999999" thickTop="1" thickBot="1" x14ac:dyDescent="0.35">
      <c r="B204" s="124" t="s">
        <v>8</v>
      </c>
      <c r="C204" s="247">
        <f>VLOOKUP(B204,'Input keuzevariabelen'!$B:$C,2,FALSE)</f>
        <v>1</v>
      </c>
      <c r="D204" s="120">
        <v>2023</v>
      </c>
      <c r="E204" s="125" t="s">
        <v>10</v>
      </c>
      <c r="F204" s="250" t="str">
        <f>VLOOKUP(G204,'Input keuzevariabelen'!$F:$J,2,FALSE)</f>
        <v>bt</v>
      </c>
      <c r="G204" s="96" t="s">
        <v>33</v>
      </c>
      <c r="H204" s="233">
        <v>512119</v>
      </c>
      <c r="I204" s="211">
        <f t="shared" si="9"/>
        <v>512119</v>
      </c>
      <c r="J204" s="252" t="str">
        <f>VLOOKUP(G204,'Input keuzevariabelen'!$F:$J,3,FALSE)</f>
        <v>km</v>
      </c>
      <c r="K204" s="252">
        <f>SUMIFS('Input keuzevariabelen'!$I:$I,'Input keuzevariabelen'!$F:$F,Data!G204,'Input keuzevariabelen'!$K:$K,Data!D204)</f>
        <v>20</v>
      </c>
      <c r="L204" s="254" t="str">
        <f>VLOOKUP(G204,'Input keuzevariabelen'!$F:$J,5,FALSE)</f>
        <v>gram CO2/km</v>
      </c>
      <c r="M204" s="257">
        <f t="shared" si="10"/>
        <v>10.242380000000001</v>
      </c>
      <c r="N204" s="99" t="s">
        <v>165</v>
      </c>
      <c r="O204" s="99"/>
      <c r="P204" s="100"/>
      <c r="Q204" s="91">
        <f>SUMIFS('Input keuzevariabelen'!$P:$P,'Input keuzevariabelen'!$M:$M,Data!G204)</f>
        <v>0</v>
      </c>
      <c r="R204" s="212">
        <f t="shared" si="11"/>
        <v>0</v>
      </c>
    </row>
    <row r="205" spans="2:18" ht="17.399999999999999" thickTop="1" thickBot="1" x14ac:dyDescent="0.35">
      <c r="B205" s="124" t="s">
        <v>8</v>
      </c>
      <c r="C205" s="247">
        <f>VLOOKUP(B205,'Input keuzevariabelen'!$B:$C,2,FALSE)</f>
        <v>1</v>
      </c>
      <c r="D205" s="120">
        <v>2023</v>
      </c>
      <c r="E205" s="125" t="s">
        <v>10</v>
      </c>
      <c r="F205" s="250" t="str">
        <f>VLOOKUP(G205,'Input keuzevariabelen'!$F:$J,2,FALSE)</f>
        <v>bt</v>
      </c>
      <c r="G205" s="96" t="s">
        <v>34</v>
      </c>
      <c r="H205" s="233">
        <v>564</v>
      </c>
      <c r="I205" s="211">
        <f t="shared" ref="I205:I206" si="15">H205*C205</f>
        <v>564</v>
      </c>
      <c r="J205" s="252" t="str">
        <f>VLOOKUP(G205,'Input keuzevariabelen'!$F:$J,3,FALSE)</f>
        <v>km</v>
      </c>
      <c r="K205" s="252">
        <f>SUMIFS('Input keuzevariabelen'!$I:$I,'Input keuzevariabelen'!$F:$F,Data!G205,'Input keuzevariabelen'!$K:$K,Data!D205)</f>
        <v>234</v>
      </c>
      <c r="L205" s="254" t="str">
        <f>VLOOKUP(G205,'Input keuzevariabelen'!$F:$J,5,FALSE)</f>
        <v>gram CO2/km</v>
      </c>
      <c r="M205" s="257">
        <f t="shared" ref="M205:M206" si="16">I205*K205/1000000</f>
        <v>0.13197600000000001</v>
      </c>
      <c r="N205" s="99" t="s">
        <v>165</v>
      </c>
      <c r="O205" s="99"/>
      <c r="P205" s="100"/>
      <c r="Q205" s="91">
        <f>SUMIFS('Input keuzevariabelen'!$P:$P,'Input keuzevariabelen'!$M:$M,Data!G205)</f>
        <v>0</v>
      </c>
      <c r="R205" s="212">
        <f t="shared" ref="R205:R206" si="17">I205*Q205</f>
        <v>0</v>
      </c>
    </row>
    <row r="206" spans="2:18" ht="17.399999999999999" thickTop="1" thickBot="1" x14ac:dyDescent="0.35">
      <c r="B206" s="124" t="s">
        <v>8</v>
      </c>
      <c r="C206" s="247">
        <f>VLOOKUP(B206,'Input keuzevariabelen'!$B:$C,2,FALSE)</f>
        <v>1</v>
      </c>
      <c r="D206" s="120">
        <v>2023</v>
      </c>
      <c r="E206" s="125" t="s">
        <v>10</v>
      </c>
      <c r="F206" s="250" t="str">
        <f>VLOOKUP(G206,'Input keuzevariabelen'!$F:$J,2,FALSE)</f>
        <v>bt</v>
      </c>
      <c r="G206" s="96" t="s">
        <v>35</v>
      </c>
      <c r="H206" s="233">
        <v>5722</v>
      </c>
      <c r="I206" s="211">
        <f t="shared" si="15"/>
        <v>5722</v>
      </c>
      <c r="J206" s="252" t="str">
        <f>VLOOKUP(G206,'Input keuzevariabelen'!$F:$J,3,FALSE)</f>
        <v>km</v>
      </c>
      <c r="K206" s="252">
        <f>SUMIFS('Input keuzevariabelen'!$I:$I,'Input keuzevariabelen'!$F:$F,Data!G206,'Input keuzevariabelen'!$K:$K,Data!D206)</f>
        <v>172</v>
      </c>
      <c r="L206" s="254" t="str">
        <f>VLOOKUP(G206,'Input keuzevariabelen'!$F:$J,5,FALSE)</f>
        <v>gram CO2/km</v>
      </c>
      <c r="M206" s="257">
        <f t="shared" si="16"/>
        <v>0.98418399999999995</v>
      </c>
      <c r="N206" s="99" t="s">
        <v>165</v>
      </c>
      <c r="O206" s="99"/>
      <c r="P206" s="100"/>
      <c r="Q206" s="91">
        <f>SUMIFS('Input keuzevariabelen'!$P:$P,'Input keuzevariabelen'!$M:$M,Data!G206)</f>
        <v>0</v>
      </c>
      <c r="R206" s="212">
        <f t="shared" si="17"/>
        <v>0</v>
      </c>
    </row>
    <row r="207" spans="2:18" ht="17.399999999999999" thickTop="1" thickBot="1" x14ac:dyDescent="0.35">
      <c r="B207" s="124" t="s">
        <v>8</v>
      </c>
      <c r="C207" s="247">
        <f>VLOOKUP(B207,'Input keuzevariabelen'!$B:$C,2,FALSE)</f>
        <v>1</v>
      </c>
      <c r="D207" s="120">
        <v>2023</v>
      </c>
      <c r="E207" s="125" t="s">
        <v>10</v>
      </c>
      <c r="F207" s="250" t="str">
        <f>VLOOKUP(G207,'Input keuzevariabelen'!$F:$J,2,FALSE)</f>
        <v>bt</v>
      </c>
      <c r="G207" s="96" t="s">
        <v>36</v>
      </c>
      <c r="H207" s="233">
        <v>258246</v>
      </c>
      <c r="I207" s="211">
        <f t="shared" si="9"/>
        <v>258246</v>
      </c>
      <c r="J207" s="252" t="str">
        <f>VLOOKUP(G207,'Input keuzevariabelen'!$F:$J,3,FALSE)</f>
        <v>km</v>
      </c>
      <c r="K207" s="252">
        <f>SUMIFS('Input keuzevariabelen'!$I:$I,'Input keuzevariabelen'!$F:$F,Data!G207,'Input keuzevariabelen'!$K:$K,Data!D207)</f>
        <v>157</v>
      </c>
      <c r="L207" s="254" t="str">
        <f>VLOOKUP(G207,'Input keuzevariabelen'!$F:$J,5,FALSE)</f>
        <v>gram CO2/km</v>
      </c>
      <c r="M207" s="257">
        <f t="shared" si="10"/>
        <v>40.544621999999997</v>
      </c>
      <c r="N207" s="99" t="s">
        <v>165</v>
      </c>
      <c r="O207" s="99"/>
      <c r="P207" s="100"/>
      <c r="Q207" s="91">
        <f>SUMIFS('Input keuzevariabelen'!$P:$P,'Input keuzevariabelen'!$M:$M,Data!G207)</f>
        <v>0</v>
      </c>
      <c r="R207" s="212">
        <f t="shared" si="11"/>
        <v>0</v>
      </c>
    </row>
    <row r="208" spans="2:18" ht="17.399999999999999" thickTop="1" thickBot="1" x14ac:dyDescent="0.35">
      <c r="B208" s="124" t="s">
        <v>148</v>
      </c>
      <c r="C208" s="247">
        <f>VLOOKUP(B208,'Input keuzevariabelen'!$B:$C,2,FALSE)</f>
        <v>0.125</v>
      </c>
      <c r="D208" s="120">
        <v>2023</v>
      </c>
      <c r="E208" s="125" t="s">
        <v>10</v>
      </c>
      <c r="F208" s="250">
        <f>VLOOKUP(G208,'Input keuzevariabelen'!$F:$J,2,FALSE)</f>
        <v>1</v>
      </c>
      <c r="G208" s="96" t="s">
        <v>18</v>
      </c>
      <c r="H208" s="233">
        <v>346529</v>
      </c>
      <c r="I208" s="211">
        <f t="shared" si="9"/>
        <v>43316.125</v>
      </c>
      <c r="J208" s="252" t="str">
        <f>VLOOKUP(G208,'Input keuzevariabelen'!$F:$J,3,FALSE)</f>
        <v>m3</v>
      </c>
      <c r="K208" s="252">
        <f>SUMIFS('Input keuzevariabelen'!$I:$I,'Input keuzevariabelen'!$F:$F,Data!G208,'Input keuzevariabelen'!$K:$K,Data!D208)</f>
        <v>2079</v>
      </c>
      <c r="L208" s="254" t="str">
        <f>VLOOKUP(G208,'Input keuzevariabelen'!$F:$J,5,FALSE)</f>
        <v>gram CO2/m3</v>
      </c>
      <c r="M208" s="257">
        <f t="shared" si="10"/>
        <v>90.054223875000005</v>
      </c>
      <c r="N208" s="99" t="s">
        <v>168</v>
      </c>
      <c r="O208" s="99"/>
      <c r="P208" s="100" t="s">
        <v>126</v>
      </c>
      <c r="Q208" s="91">
        <f>SUMIFS('Input keuzevariabelen'!$P:$P,'Input keuzevariabelen'!$M:$M,Data!G208)</f>
        <v>3.1649999999999998E-2</v>
      </c>
      <c r="R208" s="212">
        <f t="shared" si="11"/>
        <v>1370.9553562499998</v>
      </c>
    </row>
    <row r="209" spans="2:19" ht="17.399999999999999" thickTop="1" thickBot="1" x14ac:dyDescent="0.35">
      <c r="B209" s="124" t="s">
        <v>148</v>
      </c>
      <c r="C209" s="247">
        <f>VLOOKUP(B209,'Input keuzevariabelen'!$B:$C,2,FALSE)</f>
        <v>0.125</v>
      </c>
      <c r="D209" s="120">
        <v>2023</v>
      </c>
      <c r="E209" s="125" t="s">
        <v>10</v>
      </c>
      <c r="F209" s="250">
        <f>VLOOKUP(G209,'Input keuzevariabelen'!$F:$J,2,FALSE)</f>
        <v>2</v>
      </c>
      <c r="G209" s="96" t="s">
        <v>27</v>
      </c>
      <c r="H209" s="233">
        <v>22468000</v>
      </c>
      <c r="I209" s="211">
        <f t="shared" si="9"/>
        <v>2808500</v>
      </c>
      <c r="J209" s="252" t="str">
        <f>VLOOKUP(G209,'Input keuzevariabelen'!$F:$J,3,FALSE)</f>
        <v>kWh</v>
      </c>
      <c r="K209" s="252">
        <f>SUMIFS('Input keuzevariabelen'!$I:$I,'Input keuzevariabelen'!$F:$F,Data!G209,'Input keuzevariabelen'!$K:$K,Data!D209)</f>
        <v>0</v>
      </c>
      <c r="L209" s="254" t="str">
        <f>VLOOKUP(G209,'Input keuzevariabelen'!$F:$J,5,FALSE)</f>
        <v>gram CO2/kWh</v>
      </c>
      <c r="M209" s="257">
        <f t="shared" si="10"/>
        <v>0</v>
      </c>
      <c r="N209" s="99" t="s">
        <v>168</v>
      </c>
      <c r="O209" s="99"/>
      <c r="P209" s="100" t="s">
        <v>126</v>
      </c>
      <c r="Q209" s="91">
        <f>SUMIFS('Input keuzevariabelen'!$P:$P,'Input keuzevariabelen'!$M:$M,Data!G209)</f>
        <v>5.2199999999999998E-3</v>
      </c>
      <c r="R209" s="212">
        <f t="shared" si="11"/>
        <v>14660.369999999999</v>
      </c>
    </row>
    <row r="210" spans="2:19" ht="17.399999999999999" thickTop="1" thickBot="1" x14ac:dyDescent="0.35">
      <c r="B210" s="124" t="s">
        <v>127</v>
      </c>
      <c r="C210" s="247">
        <f>VLOOKUP(B210,'Input keuzevariabelen'!$B:$C,2,FALSE)</f>
        <v>0.28599999999999998</v>
      </c>
      <c r="D210" s="120">
        <v>2023</v>
      </c>
      <c r="E210" s="125" t="s">
        <v>10</v>
      </c>
      <c r="F210" s="250">
        <f>VLOOKUP(G210,'Input keuzevariabelen'!$F:$J,2,FALSE)</f>
        <v>1</v>
      </c>
      <c r="G210" s="96" t="s">
        <v>18</v>
      </c>
      <c r="H210" s="233">
        <f>31961.3*S210</f>
        <v>15278.473885162766</v>
      </c>
      <c r="I210" s="211">
        <f t="shared" si="9"/>
        <v>4369.643531156551</v>
      </c>
      <c r="J210" s="252" t="str">
        <f>VLOOKUP(G210,'Input keuzevariabelen'!$F:$J,3,FALSE)</f>
        <v>m3</v>
      </c>
      <c r="K210" s="252">
        <f>SUMIFS('Input keuzevariabelen'!$I:$I,'Input keuzevariabelen'!$F:$F,Data!G210,'Input keuzevariabelen'!$K:$K,Data!D210)</f>
        <v>2079</v>
      </c>
      <c r="L210" s="254" t="str">
        <f>VLOOKUP(G210,'Input keuzevariabelen'!$F:$J,5,FALSE)</f>
        <v>gram CO2/m3</v>
      </c>
      <c r="M210" s="257">
        <f t="shared" si="10"/>
        <v>9.0844889012744687</v>
      </c>
      <c r="N210" s="99" t="str">
        <f>N211</f>
        <v>Mail willem jansen 13-05 Het totale gebouw is 6113 m2 - De RBG heeft 2922,2 m2 in gebruik</v>
      </c>
      <c r="O210" s="99"/>
      <c r="P210" s="124" t="s">
        <v>127</v>
      </c>
      <c r="Q210" s="91">
        <f>SUMIFS('Input keuzevariabelen'!$P:$P,'Input keuzevariabelen'!$M:$M,Data!G210)</f>
        <v>3.1649999999999998E-2</v>
      </c>
      <c r="R210" s="212">
        <f t="shared" si="11"/>
        <v>138.29921776110484</v>
      </c>
      <c r="S210" s="192">
        <f>2922.2/6113</f>
        <v>0.47803042695893994</v>
      </c>
    </row>
    <row r="211" spans="2:19" ht="17.399999999999999" thickTop="1" thickBot="1" x14ac:dyDescent="0.35">
      <c r="B211" s="124" t="s">
        <v>127</v>
      </c>
      <c r="C211" s="278">
        <f>VLOOKUP(B211,'Input keuzevariabelen'!$B:$C,2,FALSE)</f>
        <v>0.28599999999999998</v>
      </c>
      <c r="D211" s="120">
        <v>2023</v>
      </c>
      <c r="E211" s="125" t="s">
        <v>10</v>
      </c>
      <c r="F211" s="250">
        <f>VLOOKUP(G211,'Input keuzevariabelen'!$F:$J,2,FALSE)</f>
        <v>2</v>
      </c>
      <c r="G211" s="96" t="s">
        <v>25</v>
      </c>
      <c r="H211" s="233">
        <f>546275*S210</f>
        <v>261136.07148699492</v>
      </c>
      <c r="I211" s="211">
        <f t="shared" si="9"/>
        <v>74684.916445280542</v>
      </c>
      <c r="J211" s="252" t="str">
        <f>VLOOKUP(G211,'Input keuzevariabelen'!$F:$J,3,FALSE)</f>
        <v>kWh</v>
      </c>
      <c r="K211" s="252">
        <f>SUMIFS('Input keuzevariabelen'!$I:$I,'Input keuzevariabelen'!$F:$F,Data!G211,'Input keuzevariabelen'!$K:$K,Data!D211)</f>
        <v>456</v>
      </c>
      <c r="L211" s="254" t="str">
        <f>VLOOKUP(G211,'Input keuzevariabelen'!$F:$J,5,FALSE)</f>
        <v>gram CO2/kWh</v>
      </c>
      <c r="M211" s="257">
        <f t="shared" si="10"/>
        <v>34.056321899047923</v>
      </c>
      <c r="N211" s="99" t="s">
        <v>169</v>
      </c>
      <c r="O211" s="99"/>
      <c r="P211" s="124" t="s">
        <v>127</v>
      </c>
      <c r="Q211" s="91">
        <f>SUMIFS('Input keuzevariabelen'!$P:$P,'Input keuzevariabelen'!$M:$M,Data!G211)</f>
        <v>5.2199999999999998E-3</v>
      </c>
      <c r="R211" s="212">
        <f t="shared" si="11"/>
        <v>389.8552638443644</v>
      </c>
    </row>
    <row r="212" spans="2:19" ht="17.399999999999999" thickTop="1" thickBot="1" x14ac:dyDescent="0.35">
      <c r="B212" s="124" t="s">
        <v>53</v>
      </c>
      <c r="C212" s="278">
        <f>VLOOKUP(B212,'Input keuzevariabelen'!$B:$C,2,FALSE)</f>
        <v>0.111</v>
      </c>
      <c r="D212" s="120">
        <v>2023</v>
      </c>
      <c r="E212" s="125" t="s">
        <v>10</v>
      </c>
      <c r="F212" s="250">
        <f>VLOOKUP(G212,'Input keuzevariabelen'!$F:$J,2,FALSE)</f>
        <v>1</v>
      </c>
      <c r="G212" s="96" t="s">
        <v>18</v>
      </c>
      <c r="H212" s="233">
        <v>128347</v>
      </c>
      <c r="I212" s="211">
        <f t="shared" si="9"/>
        <v>14246.517</v>
      </c>
      <c r="J212" s="252" t="str">
        <f>VLOOKUP(G212,'Input keuzevariabelen'!$F:$J,3,FALSE)</f>
        <v>m3</v>
      </c>
      <c r="K212" s="252">
        <f>SUMIFS('Input keuzevariabelen'!$I:$I,'Input keuzevariabelen'!$F:$F,Data!G212,'Input keuzevariabelen'!$K:$K,Data!D212)</f>
        <v>2079</v>
      </c>
      <c r="L212" s="254" t="str">
        <f>VLOOKUP(G212,'Input keuzevariabelen'!$F:$J,5,FALSE)</f>
        <v>gram CO2/m3</v>
      </c>
      <c r="M212" s="257">
        <f t="shared" si="10"/>
        <v>29.618508842999997</v>
      </c>
      <c r="N212" s="99" t="s">
        <v>170</v>
      </c>
      <c r="O212" s="99"/>
      <c r="P212" s="100" t="s">
        <v>53</v>
      </c>
      <c r="Q212" s="91">
        <f>SUMIFS('Input keuzevariabelen'!$P:$P,'Input keuzevariabelen'!$M:$M,Data!G212)</f>
        <v>3.1649999999999998E-2</v>
      </c>
      <c r="R212" s="212">
        <f t="shared" si="11"/>
        <v>450.90226304999999</v>
      </c>
    </row>
    <row r="213" spans="2:19" ht="17.399999999999999" thickTop="1" thickBot="1" x14ac:dyDescent="0.35">
      <c r="B213" s="124" t="s">
        <v>53</v>
      </c>
      <c r="C213" s="278">
        <f>VLOOKUP(B213,'Input keuzevariabelen'!$B:$C,2,FALSE)</f>
        <v>0.111</v>
      </c>
      <c r="D213" s="120">
        <v>2023</v>
      </c>
      <c r="E213" s="125" t="s">
        <v>10</v>
      </c>
      <c r="F213" s="250">
        <f>VLOOKUP(G213,'Input keuzevariabelen'!$F:$J,2,FALSE)</f>
        <v>2</v>
      </c>
      <c r="G213" s="96" t="s">
        <v>27</v>
      </c>
      <c r="H213" s="233">
        <v>1298785</v>
      </c>
      <c r="I213" s="211">
        <f t="shared" si="9"/>
        <v>144165.13500000001</v>
      </c>
      <c r="J213" s="252" t="str">
        <f>VLOOKUP(G213,'Input keuzevariabelen'!$F:$J,3,FALSE)</f>
        <v>kWh</v>
      </c>
      <c r="K213" s="252">
        <f>SUMIFS('Input keuzevariabelen'!$I:$I,'Input keuzevariabelen'!$F:$F,Data!G213,'Input keuzevariabelen'!$K:$K,Data!D213)</f>
        <v>0</v>
      </c>
      <c r="L213" s="254" t="str">
        <f>VLOOKUP(G213,'Input keuzevariabelen'!$F:$J,5,FALSE)</f>
        <v>gram CO2/kWh</v>
      </c>
      <c r="M213" s="257">
        <f t="shared" si="10"/>
        <v>0</v>
      </c>
      <c r="N213" s="99" t="s">
        <v>170</v>
      </c>
      <c r="O213" s="99"/>
      <c r="P213" s="100" t="s">
        <v>53</v>
      </c>
      <c r="Q213" s="91">
        <f>SUMIFS('Input keuzevariabelen'!$P:$P,'Input keuzevariabelen'!$M:$M,Data!G213)</f>
        <v>5.2199999999999998E-3</v>
      </c>
      <c r="R213" s="212">
        <f t="shared" si="11"/>
        <v>752.54200470000001</v>
      </c>
    </row>
    <row r="214" spans="2:19" ht="17.399999999999999" thickTop="1" thickBot="1" x14ac:dyDescent="0.35">
      <c r="B214" s="124" t="s">
        <v>53</v>
      </c>
      <c r="C214" s="278">
        <f>VLOOKUP(B214,'Input keuzevariabelen'!$B:$C,2,FALSE)</f>
        <v>0.111</v>
      </c>
      <c r="D214" s="120">
        <v>2023</v>
      </c>
      <c r="E214" s="125" t="s">
        <v>10</v>
      </c>
      <c r="F214" s="250">
        <f>VLOOKUP(G214,'Input keuzevariabelen'!$F:$J,2,FALSE)</f>
        <v>2</v>
      </c>
      <c r="G214" s="96" t="s">
        <v>28</v>
      </c>
      <c r="H214" s="233">
        <v>17697</v>
      </c>
      <c r="I214" s="211">
        <f t="shared" si="9"/>
        <v>1964.367</v>
      </c>
      <c r="J214" s="252" t="str">
        <f>VLOOKUP(G214,'Input keuzevariabelen'!$F:$J,3,FALSE)</f>
        <v>kWh</v>
      </c>
      <c r="K214" s="252">
        <f>SUMIFS('Input keuzevariabelen'!$I:$I,'Input keuzevariabelen'!$F:$F,Data!G214,'Input keuzevariabelen'!$K:$K,Data!D214)</f>
        <v>456</v>
      </c>
      <c r="L214" s="254" t="str">
        <f>VLOOKUP(G214,'Input keuzevariabelen'!$F:$J,5,FALSE)</f>
        <v>gram CO2/kWh</v>
      </c>
      <c r="M214" s="257">
        <f t="shared" si="10"/>
        <v>0.895751352</v>
      </c>
      <c r="N214" s="99" t="s">
        <v>170</v>
      </c>
      <c r="O214" s="99"/>
      <c r="P214" s="100" t="s">
        <v>53</v>
      </c>
      <c r="Q214" s="91">
        <f>SUMIFS('Input keuzevariabelen'!$P:$P,'Input keuzevariabelen'!$M:$M,Data!G214)</f>
        <v>5.2199999999999998E-3</v>
      </c>
      <c r="R214" s="212">
        <f t="shared" si="11"/>
        <v>10.253995739999999</v>
      </c>
    </row>
    <row r="215" spans="2:19" ht="17.399999999999999" thickTop="1" thickBot="1" x14ac:dyDescent="0.35">
      <c r="B215" s="124" t="s">
        <v>53</v>
      </c>
      <c r="C215" s="278">
        <f>VLOOKUP(B215,'Input keuzevariabelen'!$B:$C,2,FALSE)</f>
        <v>0.111</v>
      </c>
      <c r="D215" s="120">
        <v>2023</v>
      </c>
      <c r="E215" s="125" t="s">
        <v>10</v>
      </c>
      <c r="F215" s="250">
        <f>VLOOKUP(G215,'Input keuzevariabelen'!$F:$J,2,FALSE)</f>
        <v>1</v>
      </c>
      <c r="G215" s="96" t="s">
        <v>20</v>
      </c>
      <c r="H215" s="233">
        <v>130419</v>
      </c>
      <c r="I215" s="211">
        <f>H215*C215</f>
        <v>14476.509</v>
      </c>
      <c r="J215" s="252" t="str">
        <f>VLOOKUP(G215,'Input keuzevariabelen'!$F:$J,3,FALSE)</f>
        <v>liter</v>
      </c>
      <c r="K215" s="252">
        <f>SUMIFS('Input keuzevariabelen'!$I:$I,'Input keuzevariabelen'!$F:$F,Data!G215,'Input keuzevariabelen'!$K:$K,Data!D215)</f>
        <v>3256</v>
      </c>
      <c r="L215" s="254" t="str">
        <f>VLOOKUP(G215,'Input keuzevariabelen'!$F:$J,5,FALSE)</f>
        <v>gram CO2/liter</v>
      </c>
      <c r="M215" s="257">
        <f t="shared" si="10"/>
        <v>47.135513304</v>
      </c>
      <c r="N215" s="99" t="s">
        <v>170</v>
      </c>
      <c r="O215" s="99"/>
      <c r="P215" s="100" t="s">
        <v>53</v>
      </c>
      <c r="Q215" s="91">
        <f>SUMIFS('Input keuzevariabelen'!$P:$P,'Input keuzevariabelen'!$M:$M,Data!G215)</f>
        <v>3.6299999999999999E-2</v>
      </c>
      <c r="R215" s="212">
        <f t="shared" si="11"/>
        <v>525.49727669999993</v>
      </c>
    </row>
    <row r="216" spans="2:19" ht="17.399999999999999" thickTop="1" thickBot="1" x14ac:dyDescent="0.35">
      <c r="B216" s="124" t="s">
        <v>53</v>
      </c>
      <c r="C216" s="278">
        <f>VLOOKUP(B216,'Input keuzevariabelen'!$B:$C,2,FALSE)</f>
        <v>0.111</v>
      </c>
      <c r="D216" s="120">
        <v>2023</v>
      </c>
      <c r="E216" s="125" t="s">
        <v>10</v>
      </c>
      <c r="F216" s="250">
        <f>VLOOKUP(G216,'Input keuzevariabelen'!$F:$J,2,FALSE)</f>
        <v>1</v>
      </c>
      <c r="G216" s="96" t="s">
        <v>22</v>
      </c>
      <c r="H216" s="233">
        <v>4836</v>
      </c>
      <c r="I216" s="211">
        <f t="shared" si="9"/>
        <v>536.79600000000005</v>
      </c>
      <c r="J216" s="252" t="str">
        <f>VLOOKUP(G216,'Input keuzevariabelen'!$F:$J,3,FALSE)</f>
        <v>liter</v>
      </c>
      <c r="K216" s="252">
        <f>SUMIFS('Input keuzevariabelen'!$I:$I,'Input keuzevariabelen'!$F:$F,Data!G216,'Input keuzevariabelen'!$K:$K,Data!D216)</f>
        <v>2821</v>
      </c>
      <c r="L216" s="254" t="str">
        <f>VLOOKUP(G216,'Input keuzevariabelen'!$F:$J,5,FALSE)</f>
        <v>gram CO2/liter</v>
      </c>
      <c r="M216" s="257">
        <f t="shared" si="10"/>
        <v>1.514301516</v>
      </c>
      <c r="N216" s="99" t="s">
        <v>170</v>
      </c>
      <c r="O216" s="99"/>
      <c r="P216" s="100" t="s">
        <v>53</v>
      </c>
      <c r="Q216" s="91">
        <f>SUMIFS('Input keuzevariabelen'!$P:$P,'Input keuzevariabelen'!$M:$M,Data!G216)</f>
        <v>3.1E-2</v>
      </c>
      <c r="R216" s="212">
        <f t="shared" si="11"/>
        <v>16.640676000000003</v>
      </c>
    </row>
    <row r="217" spans="2:19" ht="17.399999999999999" thickTop="1" thickBot="1" x14ac:dyDescent="0.35">
      <c r="B217" s="124" t="s">
        <v>53</v>
      </c>
      <c r="C217" s="278">
        <f>VLOOKUP(B217,'Input keuzevariabelen'!$B:$C,2,FALSE)</f>
        <v>0.111</v>
      </c>
      <c r="D217" s="120">
        <v>2023</v>
      </c>
      <c r="E217" s="125" t="s">
        <v>10</v>
      </c>
      <c r="F217" s="250" t="str">
        <f>VLOOKUP(G217,'Input keuzevariabelen'!$F:$J,2,FALSE)</f>
        <v>bt</v>
      </c>
      <c r="G217" s="96" t="s">
        <v>31</v>
      </c>
      <c r="H217" s="233">
        <f>111817/0.21</f>
        <v>532461.90476190473</v>
      </c>
      <c r="I217" s="211">
        <f t="shared" si="9"/>
        <v>59103.271428571425</v>
      </c>
      <c r="J217" s="252" t="str">
        <f>VLOOKUP(G217,'Input keuzevariabelen'!$F:$J,3,FALSE)</f>
        <v>km</v>
      </c>
      <c r="K217" s="252">
        <f>SUMIFS('Input keuzevariabelen'!$I:$I,'Input keuzevariabelen'!$F:$F,Data!G217,'Input keuzevariabelen'!$K:$K,Data!D217)</f>
        <v>193</v>
      </c>
      <c r="L217" s="254" t="str">
        <f>VLOOKUP(G217,'Input keuzevariabelen'!$F:$J,5,FALSE)</f>
        <v>gram CO2/km</v>
      </c>
      <c r="M217" s="257">
        <f t="shared" si="10"/>
        <v>11.406931385714286</v>
      </c>
      <c r="N217" s="99" t="s">
        <v>170</v>
      </c>
      <c r="O217" s="99"/>
      <c r="P217" s="100" t="s">
        <v>53</v>
      </c>
      <c r="Q217" s="91">
        <f>SUMIFS('Input keuzevariabelen'!$P:$P,'Input keuzevariabelen'!$M:$M,Data!G217)</f>
        <v>0</v>
      </c>
      <c r="R217" s="212">
        <f t="shared" si="11"/>
        <v>0</v>
      </c>
    </row>
    <row r="218" spans="2:19" ht="17.399999999999999" thickTop="1" thickBot="1" x14ac:dyDescent="0.35">
      <c r="B218" s="124" t="s">
        <v>53</v>
      </c>
      <c r="C218" s="278">
        <f>VLOOKUP(B218,'Input keuzevariabelen'!$B:$C,2,FALSE)</f>
        <v>0.111</v>
      </c>
      <c r="D218" s="120">
        <v>2023</v>
      </c>
      <c r="E218" s="125" t="s">
        <v>10</v>
      </c>
      <c r="F218" s="250" t="str">
        <f>VLOOKUP(G218,'Input keuzevariabelen'!$F:$J,2,FALSE)</f>
        <v>bt</v>
      </c>
      <c r="G218" s="96" t="s">
        <v>33</v>
      </c>
      <c r="H218" s="233">
        <f>21353/0.23</f>
        <v>92839.130434782608</v>
      </c>
      <c r="I218" s="211">
        <f t="shared" si="9"/>
        <v>10305.14347826087</v>
      </c>
      <c r="J218" s="252" t="str">
        <f>VLOOKUP(G218,'Input keuzevariabelen'!$F:$J,3,FALSE)</f>
        <v>km</v>
      </c>
      <c r="K218" s="252">
        <f>SUMIFS('Input keuzevariabelen'!$I:$I,'Input keuzevariabelen'!$F:$F,Data!G218,'Input keuzevariabelen'!$K:$K,Data!D218)</f>
        <v>20</v>
      </c>
      <c r="L218" s="254" t="str">
        <f>VLOOKUP(G218,'Input keuzevariabelen'!$F:$J,5,FALSE)</f>
        <v>gram CO2/km</v>
      </c>
      <c r="M218" s="257">
        <f t="shared" si="10"/>
        <v>0.20610286956521739</v>
      </c>
      <c r="N218" s="99" t="s">
        <v>170</v>
      </c>
      <c r="O218" s="99"/>
      <c r="P218" s="100" t="s">
        <v>53</v>
      </c>
      <c r="Q218" s="91">
        <f>SUMIFS('Input keuzevariabelen'!$P:$P,'Input keuzevariabelen'!$M:$M,Data!G218)</f>
        <v>0</v>
      </c>
      <c r="R218" s="212">
        <f t="shared" si="11"/>
        <v>0</v>
      </c>
    </row>
    <row r="219" spans="2:19" ht="17.399999999999999" thickTop="1" thickBot="1" x14ac:dyDescent="0.35">
      <c r="B219" s="124" t="s">
        <v>171</v>
      </c>
      <c r="C219" s="278">
        <f>VLOOKUP(B219,'Input keuzevariabelen'!$B:$C,2,FALSE)</f>
        <v>4.2999999999999997E-2</v>
      </c>
      <c r="D219" s="120">
        <v>2023</v>
      </c>
      <c r="E219" s="125" t="s">
        <v>10</v>
      </c>
      <c r="F219" s="250">
        <f>VLOOKUP(G219,'Input keuzevariabelen'!$F:$J,2,FALSE)</f>
        <v>1</v>
      </c>
      <c r="G219" s="96" t="s">
        <v>18</v>
      </c>
      <c r="H219" s="264">
        <v>210</v>
      </c>
      <c r="I219" s="211">
        <f>H219*C219</f>
        <v>9.0299999999999994</v>
      </c>
      <c r="J219" s="252" t="str">
        <f>VLOOKUP(G219,'Input keuzevariabelen'!$F:$J,3,FALSE)</f>
        <v>m3</v>
      </c>
      <c r="K219" s="252">
        <f>SUMIFS('Input keuzevariabelen'!$I:$I,'Input keuzevariabelen'!$F:$F,Data!G219,'Input keuzevariabelen'!$K:$K,Data!D219)</f>
        <v>2079</v>
      </c>
      <c r="L219" s="254" t="str">
        <f>VLOOKUP(G219,'Input keuzevariabelen'!$F:$J,5,FALSE)</f>
        <v>gram CO2/m3</v>
      </c>
      <c r="M219" s="257">
        <f t="shared" si="10"/>
        <v>1.8773369999999998E-2</v>
      </c>
      <c r="N219" s="99" t="s">
        <v>172</v>
      </c>
      <c r="O219" s="99"/>
      <c r="P219" s="100" t="s">
        <v>161</v>
      </c>
      <c r="Q219" s="91">
        <f>SUMIFS('Input keuzevariabelen'!$P:$P,'Input keuzevariabelen'!$M:$M,Data!G219)</f>
        <v>3.1649999999999998E-2</v>
      </c>
      <c r="R219" s="212">
        <f t="shared" si="11"/>
        <v>0.28579949999999998</v>
      </c>
    </row>
    <row r="220" spans="2:19" ht="17.399999999999999" thickTop="1" thickBot="1" x14ac:dyDescent="0.35">
      <c r="B220" s="124" t="s">
        <v>171</v>
      </c>
      <c r="C220" s="278">
        <f>VLOOKUP(B220,'Input keuzevariabelen'!$B:$C,2,FALSE)</f>
        <v>4.2999999999999997E-2</v>
      </c>
      <c r="D220" s="120">
        <v>2023</v>
      </c>
      <c r="E220" s="125" t="s">
        <v>10</v>
      </c>
      <c r="F220" s="250">
        <f>VLOOKUP(G220,'Input keuzevariabelen'!$F:$J,2,FALSE)</f>
        <v>2</v>
      </c>
      <c r="G220" s="96" t="s">
        <v>27</v>
      </c>
      <c r="H220" s="264">
        <v>59049</v>
      </c>
      <c r="I220" s="211">
        <f t="shared" si="9"/>
        <v>2539.107</v>
      </c>
      <c r="J220" s="252" t="str">
        <f>VLOOKUP(G220,'Input keuzevariabelen'!$F:$J,3,FALSE)</f>
        <v>kWh</v>
      </c>
      <c r="K220" s="252">
        <f>SUMIFS('Input keuzevariabelen'!$I:$I,'Input keuzevariabelen'!$F:$F,Data!G220,'Input keuzevariabelen'!$K:$K,Data!D220)</f>
        <v>0</v>
      </c>
      <c r="L220" s="254" t="str">
        <f>VLOOKUP(G220,'Input keuzevariabelen'!$F:$J,5,FALSE)</f>
        <v>gram CO2/kWh</v>
      </c>
      <c r="M220" s="257">
        <f t="shared" si="10"/>
        <v>0</v>
      </c>
      <c r="N220" s="99" t="s">
        <v>172</v>
      </c>
      <c r="O220" s="99"/>
      <c r="P220" s="100" t="s">
        <v>161</v>
      </c>
      <c r="Q220" s="91">
        <f>SUMIFS('Input keuzevariabelen'!$P:$P,'Input keuzevariabelen'!$M:$M,Data!G220)</f>
        <v>5.2199999999999998E-3</v>
      </c>
      <c r="R220" s="212">
        <f t="shared" si="11"/>
        <v>13.25413854</v>
      </c>
    </row>
    <row r="221" spans="2:19" ht="17.399999999999999" thickTop="1" thickBot="1" x14ac:dyDescent="0.35">
      <c r="B221" s="124" t="s">
        <v>171</v>
      </c>
      <c r="C221" s="278">
        <f>VLOOKUP(B221,'Input keuzevariabelen'!$B:$C,2,FALSE)</f>
        <v>4.2999999999999997E-2</v>
      </c>
      <c r="D221" s="120">
        <v>2023</v>
      </c>
      <c r="E221" s="125" t="s">
        <v>10</v>
      </c>
      <c r="F221" s="250">
        <f>VLOOKUP(G221,'Input keuzevariabelen'!$F:$J,2,FALSE)</f>
        <v>1</v>
      </c>
      <c r="G221" s="96" t="s">
        <v>22</v>
      </c>
      <c r="H221" s="264">
        <v>1501</v>
      </c>
      <c r="I221" s="211">
        <f t="shared" ref="I221:I227" si="18">H221*C221</f>
        <v>64.542999999999992</v>
      </c>
      <c r="J221" s="252" t="str">
        <f>VLOOKUP(G221,'Input keuzevariabelen'!$F:$J,3,FALSE)</f>
        <v>liter</v>
      </c>
      <c r="K221" s="252">
        <f>SUMIFS('Input keuzevariabelen'!$I:$I,'Input keuzevariabelen'!$F:$F,Data!G221,'Input keuzevariabelen'!$K:$K,Data!D221)</f>
        <v>2821</v>
      </c>
      <c r="L221" s="254" t="str">
        <f>VLOOKUP(G221,'Input keuzevariabelen'!$F:$J,5,FALSE)</f>
        <v>gram CO2/liter</v>
      </c>
      <c r="M221" s="257">
        <f t="shared" si="10"/>
        <v>0.18207580299999998</v>
      </c>
      <c r="N221" s="99" t="s">
        <v>173</v>
      </c>
      <c r="O221" s="99"/>
      <c r="P221" s="100" t="s">
        <v>161</v>
      </c>
      <c r="Q221" s="91">
        <f>SUMIFS('Input keuzevariabelen'!$P:$P,'Input keuzevariabelen'!$M:$M,Data!G221)</f>
        <v>3.1E-2</v>
      </c>
      <c r="R221" s="212">
        <f t="shared" si="11"/>
        <v>2.0008329999999996</v>
      </c>
    </row>
    <row r="222" spans="2:19" ht="17.399999999999999" thickTop="1" thickBot="1" x14ac:dyDescent="0.35">
      <c r="B222" s="124" t="s">
        <v>171</v>
      </c>
      <c r="C222" s="278">
        <f>VLOOKUP(B222,'Input keuzevariabelen'!$B:$C,2,FALSE)</f>
        <v>4.2999999999999997E-2</v>
      </c>
      <c r="D222" s="120">
        <v>2023</v>
      </c>
      <c r="E222" s="125" t="s">
        <v>10</v>
      </c>
      <c r="F222" s="250">
        <f>VLOOKUP(G222,'Input keuzevariabelen'!$F:$J,2,FALSE)</f>
        <v>1</v>
      </c>
      <c r="G222" s="96" t="s">
        <v>20</v>
      </c>
      <c r="H222" s="264">
        <v>1012</v>
      </c>
      <c r="I222" s="211">
        <f t="shared" si="18"/>
        <v>43.515999999999998</v>
      </c>
      <c r="J222" s="252" t="str">
        <f>VLOOKUP(G222,'Input keuzevariabelen'!$F:$J,3,FALSE)</f>
        <v>liter</v>
      </c>
      <c r="K222" s="252">
        <f>SUMIFS('Input keuzevariabelen'!$I:$I,'Input keuzevariabelen'!$F:$F,Data!G222,'Input keuzevariabelen'!$K:$K,Data!D222)</f>
        <v>3256</v>
      </c>
      <c r="L222" s="254" t="str">
        <f>VLOOKUP(G222,'Input keuzevariabelen'!$F:$J,5,FALSE)</f>
        <v>gram CO2/liter</v>
      </c>
      <c r="M222" s="257">
        <f t="shared" si="10"/>
        <v>0.14168809599999999</v>
      </c>
      <c r="N222" s="99" t="s">
        <v>173</v>
      </c>
      <c r="O222" s="99"/>
      <c r="P222" s="100" t="s">
        <v>161</v>
      </c>
      <c r="Q222" s="91">
        <f>SUMIFS('Input keuzevariabelen'!$P:$P,'Input keuzevariabelen'!$M:$M,Data!G222)</f>
        <v>3.6299999999999999E-2</v>
      </c>
      <c r="R222" s="212">
        <f t="shared" si="11"/>
        <v>1.5796307999999999</v>
      </c>
    </row>
    <row r="223" spans="2:19" ht="17.399999999999999" thickTop="1" thickBot="1" x14ac:dyDescent="0.35">
      <c r="B223" s="124" t="s">
        <v>171</v>
      </c>
      <c r="C223" s="278">
        <f>VLOOKUP(B223,'Input keuzevariabelen'!$B:$C,2,FALSE)</f>
        <v>4.2999999999999997E-2</v>
      </c>
      <c r="D223" s="120">
        <v>2023</v>
      </c>
      <c r="E223" s="125" t="s">
        <v>10</v>
      </c>
      <c r="F223" s="250">
        <f>VLOOKUP(G223,'Input keuzevariabelen'!$F:$J,2,FALSE)</f>
        <v>2</v>
      </c>
      <c r="G223" s="96" t="s">
        <v>28</v>
      </c>
      <c r="H223" s="264">
        <v>36140</v>
      </c>
      <c r="I223" s="211">
        <f t="shared" si="18"/>
        <v>1554.02</v>
      </c>
      <c r="J223" s="252" t="str">
        <f>VLOOKUP(G223,'Input keuzevariabelen'!$F:$J,3,FALSE)</f>
        <v>kWh</v>
      </c>
      <c r="K223" s="252">
        <f>SUMIFS('Input keuzevariabelen'!$I:$I,'Input keuzevariabelen'!$F:$F,Data!G223,'Input keuzevariabelen'!$K:$K,Data!D223)</f>
        <v>456</v>
      </c>
      <c r="L223" s="254" t="str">
        <f>VLOOKUP(G223,'Input keuzevariabelen'!$F:$J,5,FALSE)</f>
        <v>gram CO2/kWh</v>
      </c>
      <c r="M223" s="257">
        <f t="shared" si="10"/>
        <v>0.70863312000000001</v>
      </c>
      <c r="N223" s="99" t="s">
        <v>173</v>
      </c>
      <c r="O223" s="99"/>
      <c r="P223" s="100" t="s">
        <v>161</v>
      </c>
      <c r="Q223" s="91">
        <f>SUMIFS('Input keuzevariabelen'!$P:$P,'Input keuzevariabelen'!$M:$M,Data!G223)</f>
        <v>5.2199999999999998E-3</v>
      </c>
      <c r="R223" s="212">
        <f t="shared" si="11"/>
        <v>8.111984399999999</v>
      </c>
    </row>
    <row r="224" spans="2:19" ht="17.399999999999999" thickTop="1" thickBot="1" x14ac:dyDescent="0.35">
      <c r="B224" s="124" t="s">
        <v>171</v>
      </c>
      <c r="C224" s="278">
        <f>VLOOKUP(B224,'Input keuzevariabelen'!$B:$C,2,FALSE)</f>
        <v>4.2999999999999997E-2</v>
      </c>
      <c r="D224" s="120">
        <v>2023</v>
      </c>
      <c r="E224" s="125" t="s">
        <v>10</v>
      </c>
      <c r="F224" s="250" t="str">
        <f>VLOOKUP(G224,'Input keuzevariabelen'!$F:$J,2,FALSE)</f>
        <v>bt</v>
      </c>
      <c r="G224" s="96" t="s">
        <v>31</v>
      </c>
      <c r="H224" s="264">
        <f>4465</f>
        <v>4465</v>
      </c>
      <c r="I224" s="211">
        <f t="shared" si="18"/>
        <v>191.99499999999998</v>
      </c>
      <c r="J224" s="252" t="str">
        <f>VLOOKUP(G224,'Input keuzevariabelen'!$F:$J,3,FALSE)</f>
        <v>km</v>
      </c>
      <c r="K224" s="252">
        <f>SUMIFS('Input keuzevariabelen'!$I:$I,'Input keuzevariabelen'!$F:$F,Data!G224,'Input keuzevariabelen'!$K:$K,Data!D224)</f>
        <v>193</v>
      </c>
      <c r="L224" s="254" t="str">
        <f>VLOOKUP(G224,'Input keuzevariabelen'!$F:$J,5,FALSE)</f>
        <v>gram CO2/km</v>
      </c>
      <c r="M224" s="257">
        <f t="shared" si="10"/>
        <v>3.7055034999999993E-2</v>
      </c>
      <c r="N224" s="99" t="s">
        <v>173</v>
      </c>
      <c r="O224" s="99"/>
      <c r="P224" s="100" t="s">
        <v>161</v>
      </c>
      <c r="Q224" s="91">
        <f>SUMIFS('Input keuzevariabelen'!$P:$P,'Input keuzevariabelen'!$M:$M,Data!G224)</f>
        <v>0</v>
      </c>
      <c r="R224" s="212">
        <f t="shared" si="11"/>
        <v>0</v>
      </c>
    </row>
    <row r="225" spans="2:18" ht="17.399999999999999" thickTop="1" thickBot="1" x14ac:dyDescent="0.35">
      <c r="B225" s="124" t="s">
        <v>171</v>
      </c>
      <c r="C225" s="278">
        <f>VLOOKUP(B225,'Input keuzevariabelen'!$B:$C,2,FALSE)</f>
        <v>4.2999999999999997E-2</v>
      </c>
      <c r="D225" s="120">
        <v>2023</v>
      </c>
      <c r="E225" s="125" t="s">
        <v>10</v>
      </c>
      <c r="F225" s="250" t="str">
        <f>VLOOKUP(G225,'Input keuzevariabelen'!$F:$J,2,FALSE)</f>
        <v>bt</v>
      </c>
      <c r="G225" s="96" t="s">
        <v>33</v>
      </c>
      <c r="H225" s="264">
        <f>713/0.14</f>
        <v>5092.8571428571422</v>
      </c>
      <c r="I225" s="211">
        <f t="shared" si="18"/>
        <v>218.9928571428571</v>
      </c>
      <c r="J225" s="252" t="str">
        <f>VLOOKUP(G225,'Input keuzevariabelen'!$F:$J,3,FALSE)</f>
        <v>km</v>
      </c>
      <c r="K225" s="252">
        <f>SUMIFS('Input keuzevariabelen'!$I:$I,'Input keuzevariabelen'!$F:$F,Data!G225,'Input keuzevariabelen'!$K:$K,Data!D225)</f>
        <v>20</v>
      </c>
      <c r="L225" s="254" t="str">
        <f>VLOOKUP(G225,'Input keuzevariabelen'!$F:$J,5,FALSE)</f>
        <v>gram CO2/km</v>
      </c>
      <c r="M225" s="257">
        <f t="shared" si="10"/>
        <v>4.3798571428571419E-3</v>
      </c>
      <c r="N225" s="99" t="s">
        <v>173</v>
      </c>
      <c r="O225" s="99"/>
      <c r="P225" s="100" t="s">
        <v>161</v>
      </c>
      <c r="Q225" s="91">
        <f>SUMIFS('Input keuzevariabelen'!$P:$P,'Input keuzevariabelen'!$M:$M,Data!G225)</f>
        <v>0</v>
      </c>
      <c r="R225" s="212">
        <f t="shared" si="11"/>
        <v>0</v>
      </c>
    </row>
    <row r="226" spans="2:18" ht="17.399999999999999" thickTop="1" thickBot="1" x14ac:dyDescent="0.35">
      <c r="B226" s="124" t="s">
        <v>171</v>
      </c>
      <c r="C226" s="278">
        <f>VLOOKUP(B226,'Input keuzevariabelen'!$B:$C,2,FALSE)</f>
        <v>4.2999999999999997E-2</v>
      </c>
      <c r="D226" s="120">
        <v>2023</v>
      </c>
      <c r="E226" s="125" t="s">
        <v>10</v>
      </c>
      <c r="F226" s="250" t="str">
        <f>VLOOKUP(G226,'Input keuzevariabelen'!$F:$J,2,FALSE)</f>
        <v>bt</v>
      </c>
      <c r="G226" s="96" t="s">
        <v>34</v>
      </c>
      <c r="H226" s="264">
        <f>H176</f>
        <v>5188</v>
      </c>
      <c r="I226" s="211">
        <f t="shared" si="18"/>
        <v>223.08399999999997</v>
      </c>
      <c r="J226" s="252" t="str">
        <f>VLOOKUP(G226,'Input keuzevariabelen'!$F:$J,3,FALSE)</f>
        <v>km</v>
      </c>
      <c r="K226" s="252">
        <f>SUMIFS('Input keuzevariabelen'!$I:$I,'Input keuzevariabelen'!$F:$F,Data!G226,'Input keuzevariabelen'!$K:$K,Data!D226)</f>
        <v>234</v>
      </c>
      <c r="L226" s="254" t="str">
        <f>VLOOKUP(G226,'Input keuzevariabelen'!$F:$J,5,FALSE)</f>
        <v>gram CO2/km</v>
      </c>
      <c r="M226" s="257">
        <f t="shared" si="10"/>
        <v>5.2201655999999992E-2</v>
      </c>
      <c r="N226" s="99" t="s">
        <v>174</v>
      </c>
      <c r="O226" s="99"/>
      <c r="P226" s="100" t="s">
        <v>161</v>
      </c>
      <c r="Q226" s="91">
        <f>SUMIFS('Input keuzevariabelen'!$P:$P,'Input keuzevariabelen'!$M:$M,Data!G226)</f>
        <v>0</v>
      </c>
      <c r="R226" s="212">
        <f t="shared" si="11"/>
        <v>0</v>
      </c>
    </row>
    <row r="227" spans="2:18" s="314" customFormat="1" ht="16.8" thickTop="1" x14ac:dyDescent="0.3">
      <c r="B227" s="315" t="s">
        <v>171</v>
      </c>
      <c r="C227" s="316">
        <f>VLOOKUP(B227,'Input keuzevariabelen'!$B:$C,2,FALSE)</f>
        <v>4.2999999999999997E-2</v>
      </c>
      <c r="D227" s="317">
        <v>2023</v>
      </c>
      <c r="E227" s="318" t="s">
        <v>10</v>
      </c>
      <c r="F227" s="319" t="str">
        <f>VLOOKUP(G227,'Input keuzevariabelen'!$F:$J,2,FALSE)</f>
        <v>bt</v>
      </c>
      <c r="G227" s="320" t="s">
        <v>35</v>
      </c>
      <c r="H227" s="321">
        <f>H177</f>
        <v>4363</v>
      </c>
      <c r="I227" s="322">
        <f t="shared" si="18"/>
        <v>187.60899999999998</v>
      </c>
      <c r="J227" s="323" t="str">
        <f>VLOOKUP(G227,'Input keuzevariabelen'!$F:$J,3,FALSE)</f>
        <v>km</v>
      </c>
      <c r="K227" s="323">
        <f>SUMIFS('Input keuzevariabelen'!$I:$I,'Input keuzevariabelen'!$F:$F,Data!G227,'Input keuzevariabelen'!$K:$K,Data!D227)</f>
        <v>172</v>
      </c>
      <c r="L227" s="324" t="str">
        <f>VLOOKUP(G227,'Input keuzevariabelen'!$F:$J,5,FALSE)</f>
        <v>gram CO2/km</v>
      </c>
      <c r="M227" s="325">
        <f t="shared" si="10"/>
        <v>3.2268747999999993E-2</v>
      </c>
      <c r="N227" s="326" t="s">
        <v>174</v>
      </c>
      <c r="O227" s="326"/>
      <c r="P227" s="327" t="s">
        <v>161</v>
      </c>
      <c r="Q227" s="328">
        <f>SUMIFS('Input keuzevariabelen'!$P:$P,'Input keuzevariabelen'!$M:$M,Data!G227)</f>
        <v>0</v>
      </c>
      <c r="R227" s="329">
        <f t="shared" si="11"/>
        <v>0</v>
      </c>
    </row>
    <row r="228" spans="2:18" s="300" customFormat="1" ht="16.8" thickBot="1" x14ac:dyDescent="0.35">
      <c r="B228" s="301" t="s">
        <v>8</v>
      </c>
      <c r="C228" s="302">
        <f>VLOOKUP(B228,'Input keuzevariabelen'!$B:$C,2,FALSE)</f>
        <v>1</v>
      </c>
      <c r="D228" s="303">
        <v>2024</v>
      </c>
      <c r="E228" s="304" t="s">
        <v>56</v>
      </c>
      <c r="F228" s="305">
        <f>VLOOKUP(G228,'Input keuzevariabelen'!$F:$J,2,FALSE)</f>
        <v>1</v>
      </c>
      <c r="G228" s="303" t="s">
        <v>20</v>
      </c>
      <c r="H228" s="306">
        <v>960</v>
      </c>
      <c r="I228" s="307">
        <f t="shared" ref="I228:I261" si="19">H228*C228</f>
        <v>960</v>
      </c>
      <c r="J228" s="308" t="str">
        <f>VLOOKUP(G228,'Input keuzevariabelen'!$F:$J,3,FALSE)</f>
        <v>liter</v>
      </c>
      <c r="K228" s="308">
        <f>SUMIFS('Input keuzevariabelen'!$I:$I,'Input keuzevariabelen'!$F:$F,Data!G228,'Input keuzevariabelen'!$K:$K,Data!D228)</f>
        <v>3256</v>
      </c>
      <c r="L228" s="309" t="str">
        <f>VLOOKUP(G228,'Input keuzevariabelen'!$F:$J,5,FALSE)</f>
        <v>gram CO2/liter</v>
      </c>
      <c r="M228" s="310">
        <f t="shared" ref="M228:M261" si="20">I228*K228/1000000</f>
        <v>3.1257600000000001</v>
      </c>
      <c r="N228" s="311" t="s">
        <v>175</v>
      </c>
      <c r="O228" s="311"/>
      <c r="P228" s="312" t="s">
        <v>176</v>
      </c>
      <c r="Q228" s="303">
        <f>SUMIFS('Input keuzevariabelen'!$P:$P,'Input keuzevariabelen'!$M:$M,Data!G228)</f>
        <v>3.6299999999999999E-2</v>
      </c>
      <c r="R228" s="313">
        <f t="shared" ref="R228:R261" si="21">I228*Q228</f>
        <v>34.847999999999999</v>
      </c>
    </row>
    <row r="229" spans="2:18" s="20" customFormat="1" ht="17.399999999999999" thickTop="1" thickBot="1" x14ac:dyDescent="0.35">
      <c r="B229" s="261" t="s">
        <v>8</v>
      </c>
      <c r="C229" s="262">
        <f>VLOOKUP(B229,'Input keuzevariabelen'!$B:$C,2,FALSE)</f>
        <v>1</v>
      </c>
      <c r="D229" s="91">
        <v>2024</v>
      </c>
      <c r="E229" s="263" t="s">
        <v>56</v>
      </c>
      <c r="F229" s="250">
        <f>VLOOKUP(G229,'Input keuzevariabelen'!$F:$J,2,FALSE)</f>
        <v>1</v>
      </c>
      <c r="G229" s="93" t="s">
        <v>22</v>
      </c>
      <c r="H229" s="264">
        <v>18164.465</v>
      </c>
      <c r="I229" s="265">
        <f t="shared" si="19"/>
        <v>18164.465</v>
      </c>
      <c r="J229" s="252" t="str">
        <f>VLOOKUP(G229,'Input keuzevariabelen'!$F:$J,3,FALSE)</f>
        <v>liter</v>
      </c>
      <c r="K229" s="252">
        <f>SUMIFS('Input keuzevariabelen'!$I:$I,'Input keuzevariabelen'!$F:$F,Data!G229,'Input keuzevariabelen'!$K:$K,Data!D229)</f>
        <v>2821</v>
      </c>
      <c r="L229" s="254" t="str">
        <f>VLOOKUP(G229,'Input keuzevariabelen'!$F:$J,5,FALSE)</f>
        <v>gram CO2/liter</v>
      </c>
      <c r="M229" s="266">
        <f t="shared" si="20"/>
        <v>51.241955765</v>
      </c>
      <c r="N229" s="267" t="s">
        <v>175</v>
      </c>
      <c r="O229" s="267"/>
      <c r="P229" s="268"/>
      <c r="Q229" s="91">
        <f>SUMIFS('Input keuzevariabelen'!$P:$P,'Input keuzevariabelen'!$M:$M,Data!G229)</f>
        <v>3.1E-2</v>
      </c>
      <c r="R229" s="269">
        <f t="shared" si="21"/>
        <v>563.09841500000005</v>
      </c>
    </row>
    <row r="230" spans="2:18" s="20" customFormat="1" ht="17.399999999999999" thickTop="1" thickBot="1" x14ac:dyDescent="0.35">
      <c r="B230" s="261" t="s">
        <v>8</v>
      </c>
      <c r="C230" s="262">
        <f>VLOOKUP(B230,'Input keuzevariabelen'!$B:$C,2,FALSE)</f>
        <v>1</v>
      </c>
      <c r="D230" s="91">
        <v>2024</v>
      </c>
      <c r="E230" s="263" t="s">
        <v>56</v>
      </c>
      <c r="F230" s="250">
        <f>VLOOKUP(G230,'Input keuzevariabelen'!$F:$J,2,FALSE)</f>
        <v>1</v>
      </c>
      <c r="G230" s="93" t="s">
        <v>20</v>
      </c>
      <c r="H230" s="264">
        <v>12309.4</v>
      </c>
      <c r="I230" s="265">
        <f t="shared" si="19"/>
        <v>12309.4</v>
      </c>
      <c r="J230" s="252" t="str">
        <f>VLOOKUP(G230,'Input keuzevariabelen'!$F:$J,3,FALSE)</f>
        <v>liter</v>
      </c>
      <c r="K230" s="252">
        <f>SUMIFS('Input keuzevariabelen'!$I:$I,'Input keuzevariabelen'!$F:$F,Data!G230,'Input keuzevariabelen'!$K:$K,Data!D230)</f>
        <v>3256</v>
      </c>
      <c r="L230" s="254" t="str">
        <f>VLOOKUP(G230,'Input keuzevariabelen'!$F:$J,5,FALSE)</f>
        <v>gram CO2/liter</v>
      </c>
      <c r="M230" s="266">
        <f t="shared" si="20"/>
        <v>40.079406399999996</v>
      </c>
      <c r="N230" s="267" t="s">
        <v>175</v>
      </c>
      <c r="O230" s="267"/>
      <c r="P230" s="268"/>
      <c r="Q230" s="91">
        <f>SUMIFS('Input keuzevariabelen'!$P:$P,'Input keuzevariabelen'!$M:$M,Data!G230)</f>
        <v>3.6299999999999999E-2</v>
      </c>
      <c r="R230" s="269">
        <f t="shared" si="21"/>
        <v>446.83121999999997</v>
      </c>
    </row>
    <row r="231" spans="2:18" s="20" customFormat="1" ht="17.399999999999999" thickTop="1" thickBot="1" x14ac:dyDescent="0.35">
      <c r="B231" s="261" t="s">
        <v>8</v>
      </c>
      <c r="C231" s="262">
        <f>VLOOKUP(B231,'Input keuzevariabelen'!$B:$C,2,FALSE)</f>
        <v>1</v>
      </c>
      <c r="D231" s="91">
        <v>2024</v>
      </c>
      <c r="E231" s="263" t="s">
        <v>56</v>
      </c>
      <c r="F231" s="250">
        <f>VLOOKUP(G231,'Input keuzevariabelen'!$F:$J,2,FALSE)</f>
        <v>2</v>
      </c>
      <c r="G231" s="93" t="s">
        <v>28</v>
      </c>
      <c r="H231" s="264">
        <v>7670.585</v>
      </c>
      <c r="I231" s="265">
        <f t="shared" si="19"/>
        <v>7670.585</v>
      </c>
      <c r="J231" s="252" t="str">
        <f>VLOOKUP(G231,'Input keuzevariabelen'!$F:$J,3,FALSE)</f>
        <v>kWh</v>
      </c>
      <c r="K231" s="252">
        <f>SUMIFS('Input keuzevariabelen'!$I:$I,'Input keuzevariabelen'!$F:$F,Data!G231,'Input keuzevariabelen'!$K:$K,Data!D231)</f>
        <v>536</v>
      </c>
      <c r="L231" s="254" t="str">
        <f>VLOOKUP(G231,'Input keuzevariabelen'!$F:$J,5,FALSE)</f>
        <v>gram CO2/kWh</v>
      </c>
      <c r="M231" s="266">
        <f t="shared" si="20"/>
        <v>4.11143356</v>
      </c>
      <c r="N231" s="267" t="s">
        <v>175</v>
      </c>
      <c r="O231" s="267"/>
      <c r="P231" s="268" t="s">
        <v>177</v>
      </c>
      <c r="Q231" s="91">
        <f>SUMIFS('Input keuzevariabelen'!$P:$P,'Input keuzevariabelen'!$M:$M,Data!G231)</f>
        <v>5.2199999999999998E-3</v>
      </c>
      <c r="R231" s="269">
        <f t="shared" si="21"/>
        <v>40.0404537</v>
      </c>
    </row>
    <row r="232" spans="2:18" s="20" customFormat="1" ht="17.399999999999999" thickTop="1" thickBot="1" x14ac:dyDescent="0.35">
      <c r="B232" s="261" t="s">
        <v>8</v>
      </c>
      <c r="C232" s="262">
        <f>VLOOKUP(B232,'Input keuzevariabelen'!$B:$C,2,FALSE)</f>
        <v>1</v>
      </c>
      <c r="D232" s="91">
        <v>2024</v>
      </c>
      <c r="E232" s="263" t="s">
        <v>56</v>
      </c>
      <c r="F232" s="250">
        <f>VLOOKUP(G232,'Input keuzevariabelen'!$F:$J,2,FALSE)</f>
        <v>2</v>
      </c>
      <c r="G232" s="93" t="s">
        <v>28</v>
      </c>
      <c r="H232" s="264">
        <v>2740.27</v>
      </c>
      <c r="I232" s="265">
        <f t="shared" si="19"/>
        <v>2740.27</v>
      </c>
      <c r="J232" s="252" t="str">
        <f>VLOOKUP(G232,'Input keuzevariabelen'!$F:$J,3,FALSE)</f>
        <v>kWh</v>
      </c>
      <c r="K232" s="252">
        <f>SUMIFS('Input keuzevariabelen'!$I:$I,'Input keuzevariabelen'!$F:$F,Data!G232,'Input keuzevariabelen'!$K:$K,Data!D232)</f>
        <v>536</v>
      </c>
      <c r="L232" s="254" t="str">
        <f>VLOOKUP(G232,'Input keuzevariabelen'!$F:$J,5,FALSE)</f>
        <v>gram CO2/kWh</v>
      </c>
      <c r="M232" s="266">
        <f t="shared" si="20"/>
        <v>1.4687847199999999</v>
      </c>
      <c r="N232" s="267" t="s">
        <v>175</v>
      </c>
      <c r="O232" s="267"/>
      <c r="P232" s="268" t="s">
        <v>178</v>
      </c>
      <c r="Q232" s="91">
        <f>SUMIFS('Input keuzevariabelen'!$P:$P,'Input keuzevariabelen'!$M:$M,Data!G232)</f>
        <v>5.2199999999999998E-3</v>
      </c>
      <c r="R232" s="269">
        <f t="shared" si="21"/>
        <v>14.3042094</v>
      </c>
    </row>
    <row r="233" spans="2:18" s="20" customFormat="1" ht="17.399999999999999" thickTop="1" thickBot="1" x14ac:dyDescent="0.35">
      <c r="B233" s="261" t="s">
        <v>8</v>
      </c>
      <c r="C233" s="262">
        <f>VLOOKUP(B233,'Input keuzevariabelen'!$B:$C,2,FALSE)</f>
        <v>1</v>
      </c>
      <c r="D233" s="91">
        <v>2024</v>
      </c>
      <c r="E233" s="263" t="s">
        <v>56</v>
      </c>
      <c r="F233" s="250" t="str">
        <f>VLOOKUP(G233,'Input keuzevariabelen'!$F:$J,2,FALSE)</f>
        <v>bt</v>
      </c>
      <c r="G233" s="93" t="s">
        <v>31</v>
      </c>
      <c r="H233" s="264">
        <v>56143.5</v>
      </c>
      <c r="I233" s="265">
        <f t="shared" si="19"/>
        <v>56143.5</v>
      </c>
      <c r="J233" s="252" t="str">
        <f>VLOOKUP(G233,'Input keuzevariabelen'!$F:$J,3,FALSE)</f>
        <v>km</v>
      </c>
      <c r="K233" s="252">
        <f>SUMIFS('Input keuzevariabelen'!$I:$I,'Input keuzevariabelen'!$F:$F,Data!G233,'Input keuzevariabelen'!$K:$K,Data!D233)</f>
        <v>193</v>
      </c>
      <c r="L233" s="254" t="str">
        <f>VLOOKUP(G233,'Input keuzevariabelen'!$F:$J,5,FALSE)</f>
        <v>gram CO2/km</v>
      </c>
      <c r="M233" s="266">
        <f t="shared" si="20"/>
        <v>10.8356955</v>
      </c>
      <c r="N233" s="267" t="s">
        <v>175</v>
      </c>
      <c r="O233" s="267"/>
      <c r="P233" s="268"/>
      <c r="Q233" s="91">
        <f>SUMIFS('Input keuzevariabelen'!$P:$P,'Input keuzevariabelen'!$M:$M,Data!G233)</f>
        <v>0</v>
      </c>
      <c r="R233" s="269">
        <f t="shared" si="21"/>
        <v>0</v>
      </c>
    </row>
    <row r="234" spans="2:18" s="20" customFormat="1" ht="17.399999999999999" thickTop="1" thickBot="1" x14ac:dyDescent="0.35">
      <c r="B234" s="261" t="s">
        <v>8</v>
      </c>
      <c r="C234" s="262">
        <f>VLOOKUP(B234,'Input keuzevariabelen'!$B:$C,2,FALSE)</f>
        <v>1</v>
      </c>
      <c r="D234" s="91">
        <v>2024</v>
      </c>
      <c r="E234" s="263" t="s">
        <v>56</v>
      </c>
      <c r="F234" s="250" t="str">
        <f>VLOOKUP(G234,'Input keuzevariabelen'!$F:$J,2,FALSE)</f>
        <v>bt</v>
      </c>
      <c r="G234" s="93" t="s">
        <v>33</v>
      </c>
      <c r="H234" s="264">
        <v>426765.89999999991</v>
      </c>
      <c r="I234" s="265">
        <f t="shared" si="19"/>
        <v>426765.89999999991</v>
      </c>
      <c r="J234" s="252" t="str">
        <f>VLOOKUP(G234,'Input keuzevariabelen'!$F:$J,3,FALSE)</f>
        <v>km</v>
      </c>
      <c r="K234" s="252">
        <f>SUMIFS('Input keuzevariabelen'!$I:$I,'Input keuzevariabelen'!$F:$F,Data!G234,'Input keuzevariabelen'!$K:$K,Data!D234)</f>
        <v>20</v>
      </c>
      <c r="L234" s="254" t="str">
        <f>VLOOKUP(G234,'Input keuzevariabelen'!$F:$J,5,FALSE)</f>
        <v>gram CO2/km</v>
      </c>
      <c r="M234" s="266">
        <f t="shared" si="20"/>
        <v>8.5353179999999984</v>
      </c>
      <c r="N234" s="267" t="s">
        <v>175</v>
      </c>
      <c r="O234" s="267"/>
      <c r="P234" s="268"/>
      <c r="Q234" s="91">
        <f>SUMIFS('Input keuzevariabelen'!$P:$P,'Input keuzevariabelen'!$M:$M,Data!G234)</f>
        <v>0</v>
      </c>
      <c r="R234" s="269">
        <f t="shared" si="21"/>
        <v>0</v>
      </c>
    </row>
    <row r="235" spans="2:18" s="20" customFormat="1" ht="17.399999999999999" thickTop="1" thickBot="1" x14ac:dyDescent="0.35">
      <c r="B235" s="261" t="s">
        <v>8</v>
      </c>
      <c r="C235" s="262">
        <f>VLOOKUP(B235,'Input keuzevariabelen'!$B:$C,2,FALSE)</f>
        <v>1</v>
      </c>
      <c r="D235" s="91">
        <v>2024</v>
      </c>
      <c r="E235" s="263" t="s">
        <v>56</v>
      </c>
      <c r="F235" s="250" t="str">
        <f>VLOOKUP(G235,'Input keuzevariabelen'!$F:$J,2,FALSE)</f>
        <v>bt</v>
      </c>
      <c r="G235" s="93" t="s">
        <v>34</v>
      </c>
      <c r="H235" s="264">
        <v>282</v>
      </c>
      <c r="I235" s="265">
        <f t="shared" si="19"/>
        <v>282</v>
      </c>
      <c r="J235" s="252" t="str">
        <f>VLOOKUP(G235,'Input keuzevariabelen'!$F:$J,3,FALSE)</f>
        <v>km</v>
      </c>
      <c r="K235" s="252">
        <f>SUMIFS('Input keuzevariabelen'!$I:$I,'Input keuzevariabelen'!$F:$F,Data!G235,'Input keuzevariabelen'!$K:$K,Data!D235)</f>
        <v>234</v>
      </c>
      <c r="L235" s="254" t="str">
        <f>VLOOKUP(G235,'Input keuzevariabelen'!$F:$J,5,FALSE)</f>
        <v>gram CO2/km</v>
      </c>
      <c r="M235" s="266">
        <f t="shared" si="20"/>
        <v>6.5988000000000005E-2</v>
      </c>
      <c r="N235" s="267" t="s">
        <v>175</v>
      </c>
      <c r="O235" s="267"/>
      <c r="P235" s="268"/>
      <c r="Q235" s="91">
        <f>SUMIFS('Input keuzevariabelen'!$P:$P,'Input keuzevariabelen'!$M:$M,Data!G235)</f>
        <v>0</v>
      </c>
      <c r="R235" s="269">
        <f t="shared" si="21"/>
        <v>0</v>
      </c>
    </row>
    <row r="236" spans="2:18" s="20" customFormat="1" ht="17.399999999999999" thickTop="1" thickBot="1" x14ac:dyDescent="0.35">
      <c r="B236" s="261" t="s">
        <v>8</v>
      </c>
      <c r="C236" s="262">
        <f>VLOOKUP(B236,'Input keuzevariabelen'!$B:$C,2,FALSE)</f>
        <v>1</v>
      </c>
      <c r="D236" s="91">
        <v>2024</v>
      </c>
      <c r="E236" s="263" t="s">
        <v>56</v>
      </c>
      <c r="F236" s="250" t="str">
        <f>VLOOKUP(G236,'Input keuzevariabelen'!$F:$J,2,FALSE)</f>
        <v>bt</v>
      </c>
      <c r="G236" s="93" t="s">
        <v>35</v>
      </c>
      <c r="H236" s="264">
        <v>2861</v>
      </c>
      <c r="I236" s="265">
        <f t="shared" si="19"/>
        <v>2861</v>
      </c>
      <c r="J236" s="252" t="str">
        <f>VLOOKUP(G236,'Input keuzevariabelen'!$F:$J,3,FALSE)</f>
        <v>km</v>
      </c>
      <c r="K236" s="252">
        <f>SUMIFS('Input keuzevariabelen'!$I:$I,'Input keuzevariabelen'!$F:$F,Data!G236,'Input keuzevariabelen'!$K:$K,Data!D236)</f>
        <v>172</v>
      </c>
      <c r="L236" s="254" t="str">
        <f>VLOOKUP(G236,'Input keuzevariabelen'!$F:$J,5,FALSE)</f>
        <v>gram CO2/km</v>
      </c>
      <c r="M236" s="266">
        <f t="shared" si="20"/>
        <v>0.49209199999999997</v>
      </c>
      <c r="N236" s="267" t="s">
        <v>175</v>
      </c>
      <c r="O236" s="267"/>
      <c r="P236" s="268"/>
      <c r="Q236" s="91">
        <f>SUMIFS('Input keuzevariabelen'!$P:$P,'Input keuzevariabelen'!$M:$M,Data!G236)</f>
        <v>0</v>
      </c>
      <c r="R236" s="269">
        <f t="shared" si="21"/>
        <v>0</v>
      </c>
    </row>
    <row r="237" spans="2:18" s="20" customFormat="1" ht="17.399999999999999" thickTop="1" thickBot="1" x14ac:dyDescent="0.35">
      <c r="B237" s="261" t="s">
        <v>8</v>
      </c>
      <c r="C237" s="262">
        <f>VLOOKUP(B237,'Input keuzevariabelen'!$B:$C,2,FALSE)</f>
        <v>1</v>
      </c>
      <c r="D237" s="91">
        <v>2024</v>
      </c>
      <c r="E237" s="263" t="s">
        <v>56</v>
      </c>
      <c r="F237" s="250" t="str">
        <f>VLOOKUP(G237,'Input keuzevariabelen'!$F:$J,2,FALSE)</f>
        <v>bt</v>
      </c>
      <c r="G237" s="93" t="s">
        <v>36</v>
      </c>
      <c r="H237" s="264">
        <v>129123</v>
      </c>
      <c r="I237" s="265">
        <f t="shared" si="19"/>
        <v>129123</v>
      </c>
      <c r="J237" s="252" t="str">
        <f>VLOOKUP(G237,'Input keuzevariabelen'!$F:$J,3,FALSE)</f>
        <v>km</v>
      </c>
      <c r="K237" s="252">
        <f>SUMIFS('Input keuzevariabelen'!$I:$I,'Input keuzevariabelen'!$F:$F,Data!G237,'Input keuzevariabelen'!$K:$K,Data!D237)</f>
        <v>157</v>
      </c>
      <c r="L237" s="254" t="str">
        <f>VLOOKUP(G237,'Input keuzevariabelen'!$F:$J,5,FALSE)</f>
        <v>gram CO2/km</v>
      </c>
      <c r="M237" s="266">
        <f t="shared" si="20"/>
        <v>20.272310999999998</v>
      </c>
      <c r="N237" s="267" t="s">
        <v>175</v>
      </c>
      <c r="O237" s="267"/>
      <c r="P237" s="268"/>
      <c r="Q237" s="91">
        <f>SUMIFS('Input keuzevariabelen'!$P:$P,'Input keuzevariabelen'!$M:$M,Data!G237)</f>
        <v>0</v>
      </c>
      <c r="R237" s="269">
        <f t="shared" si="21"/>
        <v>0</v>
      </c>
    </row>
    <row r="238" spans="2:18" s="20" customFormat="1" ht="17.399999999999999" thickTop="1" thickBot="1" x14ac:dyDescent="0.35">
      <c r="B238" s="261" t="s">
        <v>8</v>
      </c>
      <c r="C238" s="262">
        <f>VLOOKUP(B238,'Input keuzevariabelen'!$B:$C,2,FALSE)</f>
        <v>1</v>
      </c>
      <c r="D238" s="91">
        <v>2024</v>
      </c>
      <c r="E238" s="263" t="s">
        <v>56</v>
      </c>
      <c r="F238" s="250">
        <f>VLOOKUP(G238,'Input keuzevariabelen'!$F:$J,2,FALSE)</f>
        <v>1</v>
      </c>
      <c r="G238" s="93" t="s">
        <v>18</v>
      </c>
      <c r="H238" s="264">
        <v>317257</v>
      </c>
      <c r="I238" s="265">
        <f>H238*C238</f>
        <v>317257</v>
      </c>
      <c r="J238" s="252" t="str">
        <f>VLOOKUP(G238,'Input keuzevariabelen'!$F:$J,3,FALSE)</f>
        <v>m3</v>
      </c>
      <c r="K238" s="252">
        <f>SUMIFS('Input keuzevariabelen'!$I:$I,'Input keuzevariabelen'!$F:$F,Data!G238,'Input keuzevariabelen'!$K:$K,Data!D238)</f>
        <v>2134</v>
      </c>
      <c r="L238" s="254" t="str">
        <f>VLOOKUP(G238,'Input keuzevariabelen'!$F:$J,5,FALSE)</f>
        <v>gram CO2/m3</v>
      </c>
      <c r="M238" s="266">
        <f t="shared" si="20"/>
        <v>677.02643799999998</v>
      </c>
      <c r="N238" s="267" t="s">
        <v>179</v>
      </c>
      <c r="O238" s="267"/>
      <c r="P238" s="268"/>
      <c r="Q238" s="91">
        <f>SUMIFS('Input keuzevariabelen'!$P:$P,'Input keuzevariabelen'!$M:$M,Data!G238)</f>
        <v>3.1649999999999998E-2</v>
      </c>
      <c r="R238" s="269">
        <f t="shared" si="21"/>
        <v>10041.18405</v>
      </c>
    </row>
    <row r="239" spans="2:18" s="20" customFormat="1" ht="17.399999999999999" thickTop="1" thickBot="1" x14ac:dyDescent="0.35">
      <c r="B239" s="261" t="s">
        <v>8</v>
      </c>
      <c r="C239" s="262">
        <f>VLOOKUP(B239,'Input keuzevariabelen'!$B:$C,2,FALSE)</f>
        <v>1</v>
      </c>
      <c r="D239" s="91">
        <v>2024</v>
      </c>
      <c r="E239" s="263" t="s">
        <v>56</v>
      </c>
      <c r="F239" s="250">
        <f>VLOOKUP(G239,'Input keuzevariabelen'!$F:$J,2,FALSE)</f>
        <v>2</v>
      </c>
      <c r="G239" s="93" t="s">
        <v>27</v>
      </c>
      <c r="H239" s="264">
        <v>8855646.8540000003</v>
      </c>
      <c r="I239" s="265">
        <f>H239*C239</f>
        <v>8855646.8540000003</v>
      </c>
      <c r="J239" s="252" t="str">
        <f>VLOOKUP(G239,'Input keuzevariabelen'!$F:$J,3,FALSE)</f>
        <v>kWh</v>
      </c>
      <c r="K239" s="252">
        <f>SUMIFS('Input keuzevariabelen'!$I:$I,'Input keuzevariabelen'!$F:$F,Data!G239,'Input keuzevariabelen'!$K:$K,Data!D239)</f>
        <v>0</v>
      </c>
      <c r="L239" s="254" t="str">
        <f>VLOOKUP(G239,'Input keuzevariabelen'!$F:$J,5,FALSE)</f>
        <v>gram CO2/kWh</v>
      </c>
      <c r="M239" s="266">
        <f t="shared" si="20"/>
        <v>0</v>
      </c>
      <c r="N239" s="267" t="s">
        <v>179</v>
      </c>
      <c r="O239" s="267"/>
      <c r="P239" s="268"/>
      <c r="Q239" s="91">
        <f>SUMIFS('Input keuzevariabelen'!$P:$P,'Input keuzevariabelen'!$M:$M,Data!G239)</f>
        <v>5.2199999999999998E-3</v>
      </c>
      <c r="R239" s="269">
        <f t="shared" si="21"/>
        <v>46226.476577879999</v>
      </c>
    </row>
    <row r="240" spans="2:18" s="20" customFormat="1" ht="17.399999999999999" thickTop="1" thickBot="1" x14ac:dyDescent="0.35">
      <c r="B240" s="261" t="s">
        <v>8</v>
      </c>
      <c r="C240" s="262">
        <f>VLOOKUP(B240,'Input keuzevariabelen'!$B:$C,2,FALSE)</f>
        <v>1</v>
      </c>
      <c r="D240" s="91">
        <v>2024</v>
      </c>
      <c r="E240" s="263" t="s">
        <v>56</v>
      </c>
      <c r="F240" s="250">
        <f>VLOOKUP(G240,'Input keuzevariabelen'!$F:$J,2,FALSE)</f>
        <v>1</v>
      </c>
      <c r="G240" s="93" t="s">
        <v>18</v>
      </c>
      <c r="H240" s="264">
        <f>454501/2</f>
        <v>227250.5</v>
      </c>
      <c r="I240" s="265">
        <f>H240*C240</f>
        <v>227250.5</v>
      </c>
      <c r="J240" s="252" t="str">
        <f>VLOOKUP(G240,'Input keuzevariabelen'!$F:$J,3,FALSE)</f>
        <v>m3</v>
      </c>
      <c r="K240" s="252">
        <f>SUMIFS('Input keuzevariabelen'!$I:$I,'Input keuzevariabelen'!$F:$F,Data!G240,'Input keuzevariabelen'!$K:$K,Data!D240)</f>
        <v>2134</v>
      </c>
      <c r="L240" s="254" t="str">
        <f>VLOOKUP(G240,'Input keuzevariabelen'!$F:$J,5,FALSE)</f>
        <v>gram CO2/m3</v>
      </c>
      <c r="M240" s="266">
        <f t="shared" ref="M240" si="22">I240*K240/1000000</f>
        <v>484.95256699999999</v>
      </c>
      <c r="N240" s="267" t="s">
        <v>180</v>
      </c>
      <c r="O240" s="267"/>
      <c r="P240" s="268" t="s">
        <v>110</v>
      </c>
      <c r="Q240" s="91"/>
      <c r="R240" s="269"/>
    </row>
    <row r="241" spans="2:18" s="20" customFormat="1" ht="17.399999999999999" thickTop="1" thickBot="1" x14ac:dyDescent="0.35">
      <c r="B241" s="261" t="s">
        <v>8</v>
      </c>
      <c r="C241" s="262">
        <f>VLOOKUP(B241,'Input keuzevariabelen'!$B:$C,2,FALSE)</f>
        <v>1</v>
      </c>
      <c r="D241" s="91">
        <v>2024</v>
      </c>
      <c r="E241" s="263" t="s">
        <v>56</v>
      </c>
      <c r="F241" s="250">
        <f>VLOOKUP(G241,'Input keuzevariabelen'!$F:$J,2,FALSE)</f>
        <v>1</v>
      </c>
      <c r="G241" s="93" t="s">
        <v>18</v>
      </c>
      <c r="H241" s="264">
        <f>H189/2</f>
        <v>21838.5</v>
      </c>
      <c r="I241" s="265">
        <f>H241*C241</f>
        <v>21838.5</v>
      </c>
      <c r="J241" s="252" t="str">
        <f>VLOOKUP(G241,'Input keuzevariabelen'!$F:$J,3,FALSE)</f>
        <v>m3</v>
      </c>
      <c r="K241" s="252">
        <f>SUMIFS('Input keuzevariabelen'!$I:$I,'Input keuzevariabelen'!$F:$F,Data!G241,'Input keuzevariabelen'!$K:$K,Data!D241)</f>
        <v>2134</v>
      </c>
      <c r="L241" s="254" t="str">
        <f>VLOOKUP(G241,'Input keuzevariabelen'!$F:$J,5,FALSE)</f>
        <v>gram CO2/m3</v>
      </c>
      <c r="M241" s="266">
        <f t="shared" ref="M241" si="23">I241*K241/1000000</f>
        <v>46.603358999999998</v>
      </c>
      <c r="N241" s="267" t="s">
        <v>180</v>
      </c>
      <c r="O241" s="267"/>
      <c r="P241" s="268" t="s">
        <v>107</v>
      </c>
      <c r="Q241" s="91"/>
      <c r="R241" s="269"/>
    </row>
    <row r="242" spans="2:18" s="20" customFormat="1" ht="17.399999999999999" thickTop="1" thickBot="1" x14ac:dyDescent="0.35">
      <c r="B242" s="261" t="s">
        <v>148</v>
      </c>
      <c r="C242" s="262">
        <f>VLOOKUP(B242,'Input keuzevariabelen'!$B:$C,2,FALSE)</f>
        <v>0.125</v>
      </c>
      <c r="D242" s="91">
        <v>2024</v>
      </c>
      <c r="E242" s="263" t="s">
        <v>56</v>
      </c>
      <c r="F242" s="250">
        <f>VLOOKUP(G242,'Input keuzevariabelen'!$F:$J,2,FALSE)</f>
        <v>1</v>
      </c>
      <c r="G242" s="93" t="s">
        <v>18</v>
      </c>
      <c r="H242" s="264">
        <f t="shared" ref="H242:H261" si="24">H208/2</f>
        <v>173264.5</v>
      </c>
      <c r="I242" s="265">
        <f t="shared" si="19"/>
        <v>21658.0625</v>
      </c>
      <c r="J242" s="252" t="str">
        <f>VLOOKUP(G242,'Input keuzevariabelen'!$F:$J,3,FALSE)</f>
        <v>m3</v>
      </c>
      <c r="K242" s="91">
        <f>SUMIFS('Input keuzevariabelen'!$I:$I,'Input keuzevariabelen'!$F:$F,Data!G242,'Input keuzevariabelen'!$K:$K,Data!D242)</f>
        <v>2134</v>
      </c>
      <c r="L242" s="254" t="str">
        <f>VLOOKUP(G242,'Input keuzevariabelen'!$F:$J,5,FALSE)</f>
        <v>gram CO2/m3</v>
      </c>
      <c r="M242" s="266">
        <f t="shared" si="20"/>
        <v>46.218305375</v>
      </c>
      <c r="N242" s="267" t="s">
        <v>180</v>
      </c>
      <c r="O242" s="267"/>
      <c r="P242" s="268"/>
      <c r="Q242" s="91">
        <f>SUMIFS('Input keuzevariabelen'!$P:$P,'Input keuzevariabelen'!$M:$M,Data!G242)</f>
        <v>3.1649999999999998E-2</v>
      </c>
      <c r="R242" s="269">
        <f t="shared" si="21"/>
        <v>685.4776781249999</v>
      </c>
    </row>
    <row r="243" spans="2:18" ht="17.399999999999999" thickTop="1" thickBot="1" x14ac:dyDescent="0.35">
      <c r="B243" s="124" t="s">
        <v>148</v>
      </c>
      <c r="C243" s="247">
        <f>VLOOKUP(B243,'Input keuzevariabelen'!$B:$C,2,FALSE)</f>
        <v>0.125</v>
      </c>
      <c r="D243" s="91">
        <v>2024</v>
      </c>
      <c r="E243" s="125" t="s">
        <v>56</v>
      </c>
      <c r="F243" s="250">
        <f>VLOOKUP(G243,'Input keuzevariabelen'!$F:$J,2,FALSE)</f>
        <v>2</v>
      </c>
      <c r="G243" s="96" t="s">
        <v>27</v>
      </c>
      <c r="H243" s="264">
        <f t="shared" si="24"/>
        <v>11234000</v>
      </c>
      <c r="I243" s="211">
        <f t="shared" si="19"/>
        <v>1404250</v>
      </c>
      <c r="J243" s="252" t="str">
        <f>VLOOKUP(G243,'Input keuzevariabelen'!$F:$J,3,FALSE)</f>
        <v>kWh</v>
      </c>
      <c r="K243" s="91">
        <f>SUMIFS('Input keuzevariabelen'!$I:$I,'Input keuzevariabelen'!$F:$F,Data!G243,'Input keuzevariabelen'!$K:$K,Data!D243)</f>
        <v>0</v>
      </c>
      <c r="L243" s="254" t="str">
        <f>VLOOKUP(G243,'Input keuzevariabelen'!$F:$J,5,FALSE)</f>
        <v>gram CO2/kWh</v>
      </c>
      <c r="M243" s="257">
        <f t="shared" si="20"/>
        <v>0</v>
      </c>
      <c r="N243" s="267" t="s">
        <v>180</v>
      </c>
      <c r="O243" s="99"/>
      <c r="P243" s="100"/>
      <c r="Q243" s="91">
        <f>SUMIFS('Input keuzevariabelen'!$P:$P,'Input keuzevariabelen'!$M:$M,Data!G243)</f>
        <v>5.2199999999999998E-3</v>
      </c>
      <c r="R243" s="212">
        <f t="shared" si="21"/>
        <v>7330.1849999999995</v>
      </c>
    </row>
    <row r="244" spans="2:18" ht="17.399999999999999" thickTop="1" thickBot="1" x14ac:dyDescent="0.35">
      <c r="B244" s="124" t="s">
        <v>127</v>
      </c>
      <c r="C244" s="247">
        <f>VLOOKUP(B244,'Input keuzevariabelen'!$B:$C,2,FALSE)</f>
        <v>0.28599999999999998</v>
      </c>
      <c r="D244" s="91">
        <v>2024</v>
      </c>
      <c r="E244" s="125" t="s">
        <v>56</v>
      </c>
      <c r="F244" s="250">
        <f>VLOOKUP(G244,'Input keuzevariabelen'!$F:$J,2,FALSE)</f>
        <v>1</v>
      </c>
      <c r="G244" s="96" t="s">
        <v>18</v>
      </c>
      <c r="H244" s="264">
        <f t="shared" si="24"/>
        <v>7639.2369425813831</v>
      </c>
      <c r="I244" s="211">
        <f t="shared" si="19"/>
        <v>2184.8217655782755</v>
      </c>
      <c r="J244" s="252" t="str">
        <f>VLOOKUP(G244,'Input keuzevariabelen'!$F:$J,3,FALSE)</f>
        <v>m3</v>
      </c>
      <c r="K244" s="91">
        <f>SUMIFS('Input keuzevariabelen'!$I:$I,'Input keuzevariabelen'!$F:$F,Data!G244,'Input keuzevariabelen'!$K:$K,Data!D244)</f>
        <v>2134</v>
      </c>
      <c r="L244" s="254" t="str">
        <f>VLOOKUP(G244,'Input keuzevariabelen'!$F:$J,5,FALSE)</f>
        <v>gram CO2/m3</v>
      </c>
      <c r="M244" s="257">
        <f t="shared" si="20"/>
        <v>4.66240964774404</v>
      </c>
      <c r="N244" s="267" t="s">
        <v>180</v>
      </c>
      <c r="O244" s="99"/>
      <c r="P244" s="100"/>
      <c r="Q244" s="91">
        <f>SUMIFS('Input keuzevariabelen'!$P:$P,'Input keuzevariabelen'!$M:$M,Data!G244)</f>
        <v>3.1649999999999998E-2</v>
      </c>
      <c r="R244" s="212">
        <f t="shared" si="21"/>
        <v>69.149608880552421</v>
      </c>
    </row>
    <row r="245" spans="2:18" ht="17.399999999999999" thickTop="1" thickBot="1" x14ac:dyDescent="0.35">
      <c r="B245" s="124" t="s">
        <v>127</v>
      </c>
      <c r="C245" s="278">
        <f>VLOOKUP(B245,'Input keuzevariabelen'!$B:$C,2,FALSE)</f>
        <v>0.28599999999999998</v>
      </c>
      <c r="D245" s="120">
        <v>2024</v>
      </c>
      <c r="E245" s="125" t="s">
        <v>56</v>
      </c>
      <c r="F245" s="250">
        <f>VLOOKUP(G245,'Input keuzevariabelen'!$F:$J,2,FALSE)</f>
        <v>2</v>
      </c>
      <c r="G245" s="96" t="s">
        <v>25</v>
      </c>
      <c r="H245" s="264">
        <f t="shared" si="24"/>
        <v>130568.03574349746</v>
      </c>
      <c r="I245" s="211">
        <f t="shared" si="19"/>
        <v>37342.458222640271</v>
      </c>
      <c r="J245" s="252" t="str">
        <f>VLOOKUP(G245,'Input keuzevariabelen'!$F:$J,3,FALSE)</f>
        <v>kWh</v>
      </c>
      <c r="K245" s="91">
        <f>SUMIFS('Input keuzevariabelen'!$I:$I,'Input keuzevariabelen'!$F:$F,Data!G245,'Input keuzevariabelen'!$K:$K,Data!D245)</f>
        <v>536</v>
      </c>
      <c r="L245" s="254" t="str">
        <f>VLOOKUP(G245,'Input keuzevariabelen'!$F:$J,5,FALSE)</f>
        <v>gram CO2/kWh</v>
      </c>
      <c r="M245" s="257">
        <f t="shared" si="20"/>
        <v>20.015557607335182</v>
      </c>
      <c r="N245" s="267" t="s">
        <v>180</v>
      </c>
      <c r="O245" s="99"/>
      <c r="P245" s="100"/>
      <c r="Q245" s="91">
        <f>SUMIFS('Input keuzevariabelen'!$P:$P,'Input keuzevariabelen'!$M:$M,Data!G245)</f>
        <v>5.2199999999999998E-3</v>
      </c>
      <c r="R245" s="212">
        <f t="shared" si="21"/>
        <v>194.9276319221822</v>
      </c>
    </row>
    <row r="246" spans="2:18" ht="17.399999999999999" thickTop="1" thickBot="1" x14ac:dyDescent="0.35">
      <c r="B246" s="124" t="s">
        <v>53</v>
      </c>
      <c r="C246" s="278">
        <f>VLOOKUP(B246,'Input keuzevariabelen'!$B:$C,2,FALSE)</f>
        <v>0.111</v>
      </c>
      <c r="D246" s="120">
        <v>2024</v>
      </c>
      <c r="E246" s="125" t="s">
        <v>56</v>
      </c>
      <c r="F246" s="250">
        <f>VLOOKUP(G246,'Input keuzevariabelen'!$F:$J,2,FALSE)</f>
        <v>1</v>
      </c>
      <c r="G246" s="96" t="s">
        <v>18</v>
      </c>
      <c r="H246" s="264">
        <f t="shared" si="24"/>
        <v>64173.5</v>
      </c>
      <c r="I246" s="211">
        <f t="shared" si="19"/>
        <v>7123.2584999999999</v>
      </c>
      <c r="J246" s="252" t="str">
        <f>VLOOKUP(G246,'Input keuzevariabelen'!$F:$J,3,FALSE)</f>
        <v>m3</v>
      </c>
      <c r="K246" s="91">
        <f>SUMIFS('Input keuzevariabelen'!$I:$I,'Input keuzevariabelen'!$F:$F,Data!G246,'Input keuzevariabelen'!$K:$K,Data!D246)</f>
        <v>2134</v>
      </c>
      <c r="L246" s="254" t="str">
        <f>VLOOKUP(G246,'Input keuzevariabelen'!$F:$J,5,FALSE)</f>
        <v>gram CO2/m3</v>
      </c>
      <c r="M246" s="257">
        <f t="shared" si="20"/>
        <v>15.201033639</v>
      </c>
      <c r="N246" s="267" t="s">
        <v>180</v>
      </c>
      <c r="O246" s="99"/>
      <c r="P246" s="100"/>
      <c r="Q246" s="91">
        <f>SUMIFS('Input keuzevariabelen'!$P:$P,'Input keuzevariabelen'!$M:$M,Data!G246)</f>
        <v>3.1649999999999998E-2</v>
      </c>
      <c r="R246" s="212">
        <f t="shared" si="21"/>
        <v>225.45113152499999</v>
      </c>
    </row>
    <row r="247" spans="2:18" ht="17.399999999999999" thickTop="1" thickBot="1" x14ac:dyDescent="0.35">
      <c r="B247" s="124" t="s">
        <v>53</v>
      </c>
      <c r="C247" s="278">
        <f>VLOOKUP(B247,'Input keuzevariabelen'!$B:$C,2,FALSE)</f>
        <v>0.111</v>
      </c>
      <c r="D247" s="120">
        <v>2024</v>
      </c>
      <c r="E247" s="125" t="s">
        <v>56</v>
      </c>
      <c r="F247" s="250">
        <f>VLOOKUP(G247,'Input keuzevariabelen'!$F:$J,2,FALSE)</f>
        <v>2</v>
      </c>
      <c r="G247" s="96" t="s">
        <v>27</v>
      </c>
      <c r="H247" s="264">
        <f t="shared" si="24"/>
        <v>649392.5</v>
      </c>
      <c r="I247" s="211">
        <f t="shared" si="19"/>
        <v>72082.567500000005</v>
      </c>
      <c r="J247" s="252" t="str">
        <f>VLOOKUP(G247,'Input keuzevariabelen'!$F:$J,3,FALSE)</f>
        <v>kWh</v>
      </c>
      <c r="K247" s="91">
        <f>SUMIFS('Input keuzevariabelen'!$I:$I,'Input keuzevariabelen'!$F:$F,Data!G247,'Input keuzevariabelen'!$K:$K,Data!D247)</f>
        <v>0</v>
      </c>
      <c r="L247" s="254" t="str">
        <f>VLOOKUP(G247,'Input keuzevariabelen'!$F:$J,5,FALSE)</f>
        <v>gram CO2/kWh</v>
      </c>
      <c r="M247" s="257">
        <f t="shared" si="20"/>
        <v>0</v>
      </c>
      <c r="N247" s="267" t="s">
        <v>180</v>
      </c>
      <c r="O247" s="99"/>
      <c r="P247" s="100"/>
      <c r="Q247" s="91">
        <f>SUMIFS('Input keuzevariabelen'!$P:$P,'Input keuzevariabelen'!$M:$M,Data!G247)</f>
        <v>5.2199999999999998E-3</v>
      </c>
      <c r="R247" s="212">
        <f t="shared" si="21"/>
        <v>376.27100235</v>
      </c>
    </row>
    <row r="248" spans="2:18" ht="17.399999999999999" thickTop="1" thickBot="1" x14ac:dyDescent="0.35">
      <c r="B248" s="124" t="s">
        <v>53</v>
      </c>
      <c r="C248" s="278">
        <f>VLOOKUP(B248,'Input keuzevariabelen'!$B:$C,2,FALSE)</f>
        <v>0.111</v>
      </c>
      <c r="D248" s="120">
        <v>2024</v>
      </c>
      <c r="E248" s="125" t="s">
        <v>56</v>
      </c>
      <c r="F248" s="250">
        <f>VLOOKUP(G248,'Input keuzevariabelen'!$F:$J,2,FALSE)</f>
        <v>2</v>
      </c>
      <c r="G248" s="96" t="s">
        <v>28</v>
      </c>
      <c r="H248" s="264">
        <f t="shared" si="24"/>
        <v>8848.5</v>
      </c>
      <c r="I248" s="211">
        <f t="shared" si="19"/>
        <v>982.18349999999998</v>
      </c>
      <c r="J248" s="252" t="str">
        <f>VLOOKUP(G248,'Input keuzevariabelen'!$F:$J,3,FALSE)</f>
        <v>kWh</v>
      </c>
      <c r="K248" s="91">
        <f>SUMIFS('Input keuzevariabelen'!$I:$I,'Input keuzevariabelen'!$F:$F,Data!G248,'Input keuzevariabelen'!$K:$K,Data!D248)</f>
        <v>536</v>
      </c>
      <c r="L248" s="254" t="str">
        <f>VLOOKUP(G248,'Input keuzevariabelen'!$F:$J,5,FALSE)</f>
        <v>gram CO2/kWh</v>
      </c>
      <c r="M248" s="257">
        <f t="shared" si="20"/>
        <v>0.52645035600000001</v>
      </c>
      <c r="N248" s="267" t="s">
        <v>180</v>
      </c>
      <c r="O248" s="99"/>
      <c r="P248" s="100"/>
      <c r="Q248" s="91">
        <f>SUMIFS('Input keuzevariabelen'!$P:$P,'Input keuzevariabelen'!$M:$M,Data!G248)</f>
        <v>5.2199999999999998E-3</v>
      </c>
      <c r="R248" s="212">
        <f t="shared" si="21"/>
        <v>5.1269978699999994</v>
      </c>
    </row>
    <row r="249" spans="2:18" ht="17.399999999999999" thickTop="1" thickBot="1" x14ac:dyDescent="0.35">
      <c r="B249" s="124" t="s">
        <v>53</v>
      </c>
      <c r="C249" s="278">
        <f>VLOOKUP(B249,'Input keuzevariabelen'!$B:$C,2,FALSE)</f>
        <v>0.111</v>
      </c>
      <c r="D249" s="120">
        <v>2024</v>
      </c>
      <c r="E249" s="125" t="s">
        <v>56</v>
      </c>
      <c r="F249" s="250">
        <f>VLOOKUP(G249,'Input keuzevariabelen'!$F:$J,2,FALSE)</f>
        <v>1</v>
      </c>
      <c r="G249" s="96" t="s">
        <v>20</v>
      </c>
      <c r="H249" s="264">
        <f t="shared" si="24"/>
        <v>65209.5</v>
      </c>
      <c r="I249" s="211">
        <f t="shared" si="19"/>
        <v>7238.2545</v>
      </c>
      <c r="J249" s="252" t="str">
        <f>VLOOKUP(G249,'Input keuzevariabelen'!$F:$J,3,FALSE)</f>
        <v>liter</v>
      </c>
      <c r="K249" s="91">
        <f>SUMIFS('Input keuzevariabelen'!$I:$I,'Input keuzevariabelen'!$F:$F,Data!G249,'Input keuzevariabelen'!$K:$K,Data!D249)</f>
        <v>3256</v>
      </c>
      <c r="L249" s="254" t="str">
        <f>VLOOKUP(G249,'Input keuzevariabelen'!$F:$J,5,FALSE)</f>
        <v>gram CO2/liter</v>
      </c>
      <c r="M249" s="257">
        <f t="shared" si="20"/>
        <v>23.567756652</v>
      </c>
      <c r="N249" s="267" t="s">
        <v>180</v>
      </c>
      <c r="O249" s="99"/>
      <c r="P249" s="100"/>
      <c r="Q249" s="91">
        <f>SUMIFS('Input keuzevariabelen'!$P:$P,'Input keuzevariabelen'!$M:$M,Data!G249)</f>
        <v>3.6299999999999999E-2</v>
      </c>
      <c r="R249" s="212">
        <f t="shared" si="21"/>
        <v>262.74863834999996</v>
      </c>
    </row>
    <row r="250" spans="2:18" ht="17.399999999999999" thickTop="1" thickBot="1" x14ac:dyDescent="0.35">
      <c r="B250" s="124" t="s">
        <v>53</v>
      </c>
      <c r="C250" s="278">
        <f>VLOOKUP(B250,'Input keuzevariabelen'!$B:$C,2,FALSE)</f>
        <v>0.111</v>
      </c>
      <c r="D250" s="120">
        <v>2024</v>
      </c>
      <c r="E250" s="125" t="s">
        <v>56</v>
      </c>
      <c r="F250" s="250">
        <f>VLOOKUP(G250,'Input keuzevariabelen'!$F:$J,2,FALSE)</f>
        <v>1</v>
      </c>
      <c r="G250" s="96" t="s">
        <v>22</v>
      </c>
      <c r="H250" s="264">
        <f t="shared" si="24"/>
        <v>2418</v>
      </c>
      <c r="I250" s="211">
        <f t="shared" si="19"/>
        <v>268.39800000000002</v>
      </c>
      <c r="J250" s="252" t="str">
        <f>VLOOKUP(G250,'Input keuzevariabelen'!$F:$J,3,FALSE)</f>
        <v>liter</v>
      </c>
      <c r="K250" s="91">
        <f>SUMIFS('Input keuzevariabelen'!$I:$I,'Input keuzevariabelen'!$F:$F,Data!G250,'Input keuzevariabelen'!$K:$K,Data!D250)</f>
        <v>2821</v>
      </c>
      <c r="L250" s="254" t="str">
        <f>VLOOKUP(G250,'Input keuzevariabelen'!$F:$J,5,FALSE)</f>
        <v>gram CO2/liter</v>
      </c>
      <c r="M250" s="257">
        <f t="shared" si="20"/>
        <v>0.75715075799999998</v>
      </c>
      <c r="N250" s="267" t="s">
        <v>180</v>
      </c>
      <c r="O250" s="99"/>
      <c r="P250" s="100"/>
      <c r="Q250" s="91">
        <f>SUMIFS('Input keuzevariabelen'!$P:$P,'Input keuzevariabelen'!$M:$M,Data!G250)</f>
        <v>3.1E-2</v>
      </c>
      <c r="R250" s="212">
        <f t="shared" si="21"/>
        <v>8.3203380000000013</v>
      </c>
    </row>
    <row r="251" spans="2:18" ht="17.399999999999999" thickTop="1" thickBot="1" x14ac:dyDescent="0.35">
      <c r="B251" s="124" t="s">
        <v>53</v>
      </c>
      <c r="C251" s="278">
        <f>VLOOKUP(B251,'Input keuzevariabelen'!$B:$C,2,FALSE)</f>
        <v>0.111</v>
      </c>
      <c r="D251" s="120">
        <v>2024</v>
      </c>
      <c r="E251" s="125" t="s">
        <v>56</v>
      </c>
      <c r="F251" s="250" t="str">
        <f>VLOOKUP(G251,'Input keuzevariabelen'!$F:$J,2,FALSE)</f>
        <v>bt</v>
      </c>
      <c r="G251" s="96" t="s">
        <v>31</v>
      </c>
      <c r="H251" s="264">
        <f t="shared" si="24"/>
        <v>266230.95238095237</v>
      </c>
      <c r="I251" s="211">
        <f t="shared" si="19"/>
        <v>29551.635714285712</v>
      </c>
      <c r="J251" s="252" t="str">
        <f>VLOOKUP(G251,'Input keuzevariabelen'!$F:$J,3,FALSE)</f>
        <v>km</v>
      </c>
      <c r="K251" s="91">
        <f>SUMIFS('Input keuzevariabelen'!$I:$I,'Input keuzevariabelen'!$F:$F,Data!G251,'Input keuzevariabelen'!$K:$K,Data!D251)</f>
        <v>193</v>
      </c>
      <c r="L251" s="254" t="str">
        <f>VLOOKUP(G251,'Input keuzevariabelen'!$F:$J,5,FALSE)</f>
        <v>gram CO2/km</v>
      </c>
      <c r="M251" s="257">
        <f t="shared" si="20"/>
        <v>5.7034656928571428</v>
      </c>
      <c r="N251" s="267" t="s">
        <v>180</v>
      </c>
      <c r="O251" s="99"/>
      <c r="P251" s="100"/>
      <c r="Q251" s="91">
        <f>SUMIFS('Input keuzevariabelen'!$P:$P,'Input keuzevariabelen'!$M:$M,Data!G251)</f>
        <v>0</v>
      </c>
      <c r="R251" s="212">
        <f t="shared" si="21"/>
        <v>0</v>
      </c>
    </row>
    <row r="252" spans="2:18" ht="17.399999999999999" thickTop="1" thickBot="1" x14ac:dyDescent="0.35">
      <c r="B252" s="124" t="s">
        <v>53</v>
      </c>
      <c r="C252" s="278">
        <f>VLOOKUP(B252,'Input keuzevariabelen'!$B:$C,2,FALSE)</f>
        <v>0.111</v>
      </c>
      <c r="D252" s="120">
        <v>2024</v>
      </c>
      <c r="E252" s="125" t="s">
        <v>56</v>
      </c>
      <c r="F252" s="250" t="str">
        <f>VLOOKUP(G252,'Input keuzevariabelen'!$F:$J,2,FALSE)</f>
        <v>bt</v>
      </c>
      <c r="G252" s="96" t="s">
        <v>33</v>
      </c>
      <c r="H252" s="264">
        <f t="shared" si="24"/>
        <v>46419.565217391304</v>
      </c>
      <c r="I252" s="211">
        <f t="shared" si="19"/>
        <v>5152.5717391304352</v>
      </c>
      <c r="J252" s="252" t="str">
        <f>VLOOKUP(G252,'Input keuzevariabelen'!$F:$J,3,FALSE)</f>
        <v>km</v>
      </c>
      <c r="K252" s="91">
        <f>SUMIFS('Input keuzevariabelen'!$I:$I,'Input keuzevariabelen'!$F:$F,Data!G252,'Input keuzevariabelen'!$K:$K,Data!D252)</f>
        <v>20</v>
      </c>
      <c r="L252" s="254" t="str">
        <f>VLOOKUP(G252,'Input keuzevariabelen'!$F:$J,5,FALSE)</f>
        <v>gram CO2/km</v>
      </c>
      <c r="M252" s="257">
        <f t="shared" si="20"/>
        <v>0.1030514347826087</v>
      </c>
      <c r="N252" s="267" t="s">
        <v>180</v>
      </c>
      <c r="O252" s="99"/>
      <c r="P252" s="100"/>
      <c r="Q252" s="91">
        <f>SUMIFS('Input keuzevariabelen'!$P:$P,'Input keuzevariabelen'!$M:$M,Data!G252)</f>
        <v>0</v>
      </c>
      <c r="R252" s="212">
        <f t="shared" si="21"/>
        <v>0</v>
      </c>
    </row>
    <row r="253" spans="2:18" ht="17.399999999999999" thickTop="1" thickBot="1" x14ac:dyDescent="0.35">
      <c r="B253" s="124" t="s">
        <v>171</v>
      </c>
      <c r="C253" s="278">
        <f>VLOOKUP(B253,'Input keuzevariabelen'!$B:$C,2,FALSE)</f>
        <v>4.2999999999999997E-2</v>
      </c>
      <c r="D253" s="120">
        <v>2024</v>
      </c>
      <c r="E253" s="125" t="s">
        <v>56</v>
      </c>
      <c r="F253" s="250">
        <f>VLOOKUP(G253,'Input keuzevariabelen'!$F:$J,2,FALSE)</f>
        <v>1</v>
      </c>
      <c r="G253" s="96" t="s">
        <v>18</v>
      </c>
      <c r="H253" s="264">
        <f t="shared" si="24"/>
        <v>105</v>
      </c>
      <c r="I253" s="211">
        <f t="shared" si="19"/>
        <v>4.5149999999999997</v>
      </c>
      <c r="J253" s="252" t="str">
        <f>VLOOKUP(G253,'Input keuzevariabelen'!$F:$J,3,FALSE)</f>
        <v>m3</v>
      </c>
      <c r="K253" s="91">
        <f>SUMIFS('Input keuzevariabelen'!$I:$I,'Input keuzevariabelen'!$F:$F,Data!G253,'Input keuzevariabelen'!$K:$K,Data!D253)</f>
        <v>2134</v>
      </c>
      <c r="L253" s="254" t="str">
        <f>VLOOKUP(G253,'Input keuzevariabelen'!$F:$J,5,FALSE)</f>
        <v>gram CO2/m3</v>
      </c>
      <c r="M253" s="257">
        <f t="shared" si="20"/>
        <v>9.6350099999999994E-3</v>
      </c>
      <c r="N253" s="267" t="s">
        <v>180</v>
      </c>
      <c r="O253" s="99"/>
      <c r="P253" s="100"/>
      <c r="Q253" s="91">
        <f>SUMIFS('Input keuzevariabelen'!$P:$P,'Input keuzevariabelen'!$M:$M,Data!G253)</f>
        <v>3.1649999999999998E-2</v>
      </c>
      <c r="R253" s="212">
        <f t="shared" si="21"/>
        <v>0.14289974999999999</v>
      </c>
    </row>
    <row r="254" spans="2:18" ht="17.399999999999999" thickTop="1" thickBot="1" x14ac:dyDescent="0.35">
      <c r="B254" s="124" t="s">
        <v>171</v>
      </c>
      <c r="C254" s="278">
        <f>VLOOKUP(B254,'Input keuzevariabelen'!$B:$C,2,FALSE)</f>
        <v>4.2999999999999997E-2</v>
      </c>
      <c r="D254" s="120">
        <v>2024</v>
      </c>
      <c r="E254" s="125" t="s">
        <v>56</v>
      </c>
      <c r="F254" s="250">
        <f>VLOOKUP(G254,'Input keuzevariabelen'!$F:$J,2,FALSE)</f>
        <v>2</v>
      </c>
      <c r="G254" s="96" t="s">
        <v>27</v>
      </c>
      <c r="H254" s="264">
        <f t="shared" si="24"/>
        <v>29524.5</v>
      </c>
      <c r="I254" s="211">
        <f t="shared" si="19"/>
        <v>1269.5535</v>
      </c>
      <c r="J254" s="252" t="str">
        <f>VLOOKUP(G254,'Input keuzevariabelen'!$F:$J,3,FALSE)</f>
        <v>kWh</v>
      </c>
      <c r="K254" s="91">
        <f>SUMIFS('Input keuzevariabelen'!$I:$I,'Input keuzevariabelen'!$F:$F,Data!G254,'Input keuzevariabelen'!$K:$K,Data!D254)</f>
        <v>0</v>
      </c>
      <c r="L254" s="254" t="str">
        <f>VLOOKUP(G254,'Input keuzevariabelen'!$F:$J,5,FALSE)</f>
        <v>gram CO2/kWh</v>
      </c>
      <c r="M254" s="257">
        <f t="shared" si="20"/>
        <v>0</v>
      </c>
      <c r="N254" s="267" t="s">
        <v>180</v>
      </c>
      <c r="O254" s="99"/>
      <c r="P254" s="100"/>
      <c r="Q254" s="91">
        <f>SUMIFS('Input keuzevariabelen'!$P:$P,'Input keuzevariabelen'!$M:$M,Data!G254)</f>
        <v>5.2199999999999998E-3</v>
      </c>
      <c r="R254" s="212">
        <f t="shared" si="21"/>
        <v>6.6270692699999998</v>
      </c>
    </row>
    <row r="255" spans="2:18" ht="17.399999999999999" thickTop="1" thickBot="1" x14ac:dyDescent="0.35">
      <c r="B255" s="124" t="s">
        <v>171</v>
      </c>
      <c r="C255" s="278">
        <f>VLOOKUP(B255,'Input keuzevariabelen'!$B:$C,2,FALSE)</f>
        <v>4.2999999999999997E-2</v>
      </c>
      <c r="D255" s="120">
        <v>2024</v>
      </c>
      <c r="E255" s="125" t="s">
        <v>56</v>
      </c>
      <c r="F255" s="250">
        <f>VLOOKUP(G255,'Input keuzevariabelen'!$F:$J,2,FALSE)</f>
        <v>1</v>
      </c>
      <c r="G255" s="96" t="s">
        <v>22</v>
      </c>
      <c r="H255" s="264">
        <f t="shared" si="24"/>
        <v>750.5</v>
      </c>
      <c r="I255" s="211">
        <f t="shared" si="19"/>
        <v>32.271499999999996</v>
      </c>
      <c r="J255" s="252" t="str">
        <f>VLOOKUP(G255,'Input keuzevariabelen'!$F:$J,3,FALSE)</f>
        <v>liter</v>
      </c>
      <c r="K255" s="91">
        <f>SUMIFS('Input keuzevariabelen'!$I:$I,'Input keuzevariabelen'!$F:$F,Data!G255,'Input keuzevariabelen'!$K:$K,Data!D255)</f>
        <v>2821</v>
      </c>
      <c r="L255" s="254" t="str">
        <f>VLOOKUP(G255,'Input keuzevariabelen'!$F:$J,5,FALSE)</f>
        <v>gram CO2/liter</v>
      </c>
      <c r="M255" s="257">
        <f t="shared" si="20"/>
        <v>9.103790149999999E-2</v>
      </c>
      <c r="N255" s="267" t="s">
        <v>180</v>
      </c>
      <c r="O255" s="99"/>
      <c r="P255" s="100"/>
      <c r="Q255" s="91">
        <f>SUMIFS('Input keuzevariabelen'!$P:$P,'Input keuzevariabelen'!$M:$M,Data!G255)</f>
        <v>3.1E-2</v>
      </c>
      <c r="R255" s="212">
        <f t="shared" si="21"/>
        <v>1.0004164999999998</v>
      </c>
    </row>
    <row r="256" spans="2:18" ht="17.399999999999999" thickTop="1" thickBot="1" x14ac:dyDescent="0.35">
      <c r="B256" s="124" t="s">
        <v>171</v>
      </c>
      <c r="C256" s="278">
        <f>VLOOKUP(B256,'Input keuzevariabelen'!$B:$C,2,FALSE)</f>
        <v>4.2999999999999997E-2</v>
      </c>
      <c r="D256" s="120">
        <v>2024</v>
      </c>
      <c r="E256" s="125" t="s">
        <v>56</v>
      </c>
      <c r="F256" s="250">
        <f>VLOOKUP(G256,'Input keuzevariabelen'!$F:$J,2,FALSE)</f>
        <v>1</v>
      </c>
      <c r="G256" s="96" t="s">
        <v>20</v>
      </c>
      <c r="H256" s="264">
        <f t="shared" si="24"/>
        <v>506</v>
      </c>
      <c r="I256" s="211">
        <f t="shared" si="19"/>
        <v>21.757999999999999</v>
      </c>
      <c r="J256" s="252" t="str">
        <f>VLOOKUP(G256,'Input keuzevariabelen'!$F:$J,3,FALSE)</f>
        <v>liter</v>
      </c>
      <c r="K256" s="91">
        <f>SUMIFS('Input keuzevariabelen'!$I:$I,'Input keuzevariabelen'!$F:$F,Data!G256,'Input keuzevariabelen'!$K:$K,Data!D256)</f>
        <v>3256</v>
      </c>
      <c r="L256" s="254" t="str">
        <f>VLOOKUP(G256,'Input keuzevariabelen'!$F:$J,5,FALSE)</f>
        <v>gram CO2/liter</v>
      </c>
      <c r="M256" s="257">
        <f t="shared" si="20"/>
        <v>7.0844047999999993E-2</v>
      </c>
      <c r="N256" s="267" t="s">
        <v>180</v>
      </c>
      <c r="O256" s="99"/>
      <c r="P256" s="100"/>
      <c r="Q256" s="91">
        <f>SUMIFS('Input keuzevariabelen'!$P:$P,'Input keuzevariabelen'!$M:$M,Data!G256)</f>
        <v>3.6299999999999999E-2</v>
      </c>
      <c r="R256" s="212">
        <f t="shared" si="21"/>
        <v>0.78981539999999995</v>
      </c>
    </row>
    <row r="257" spans="2:18" ht="17.399999999999999" thickTop="1" thickBot="1" x14ac:dyDescent="0.35">
      <c r="B257" s="124" t="s">
        <v>171</v>
      </c>
      <c r="C257" s="278">
        <f>VLOOKUP(B257,'Input keuzevariabelen'!$B:$C,2,FALSE)</f>
        <v>4.2999999999999997E-2</v>
      </c>
      <c r="D257" s="120">
        <v>2024</v>
      </c>
      <c r="E257" s="125" t="s">
        <v>56</v>
      </c>
      <c r="F257" s="250">
        <f>VLOOKUP(G257,'Input keuzevariabelen'!$F:$J,2,FALSE)</f>
        <v>2</v>
      </c>
      <c r="G257" s="96" t="s">
        <v>28</v>
      </c>
      <c r="H257" s="264">
        <f t="shared" si="24"/>
        <v>18070</v>
      </c>
      <c r="I257" s="211">
        <f t="shared" si="19"/>
        <v>777.01</v>
      </c>
      <c r="J257" s="252" t="str">
        <f>VLOOKUP(G257,'Input keuzevariabelen'!$F:$J,3,FALSE)</f>
        <v>kWh</v>
      </c>
      <c r="K257" s="91">
        <f>SUMIFS('Input keuzevariabelen'!$I:$I,'Input keuzevariabelen'!$F:$F,Data!G257,'Input keuzevariabelen'!$K:$K,Data!D257)</f>
        <v>536</v>
      </c>
      <c r="L257" s="254" t="str">
        <f>VLOOKUP(G257,'Input keuzevariabelen'!$F:$J,5,FALSE)</f>
        <v>gram CO2/kWh</v>
      </c>
      <c r="M257" s="257">
        <f t="shared" si="20"/>
        <v>0.41647735999999996</v>
      </c>
      <c r="N257" s="267" t="s">
        <v>180</v>
      </c>
      <c r="O257" s="99"/>
      <c r="P257" s="100"/>
      <c r="Q257" s="91">
        <f>SUMIFS('Input keuzevariabelen'!$P:$P,'Input keuzevariabelen'!$M:$M,Data!G257)</f>
        <v>5.2199999999999998E-3</v>
      </c>
      <c r="R257" s="212">
        <f t="shared" si="21"/>
        <v>4.0559921999999995</v>
      </c>
    </row>
    <row r="258" spans="2:18" ht="17.399999999999999" thickTop="1" thickBot="1" x14ac:dyDescent="0.35">
      <c r="B258" s="124" t="s">
        <v>171</v>
      </c>
      <c r="C258" s="278">
        <f>VLOOKUP(B258,'Input keuzevariabelen'!$B:$C,2,FALSE)</f>
        <v>4.2999999999999997E-2</v>
      </c>
      <c r="D258" s="120">
        <v>2024</v>
      </c>
      <c r="E258" s="125" t="s">
        <v>56</v>
      </c>
      <c r="F258" s="250" t="str">
        <f>VLOOKUP(G258,'Input keuzevariabelen'!$F:$J,2,FALSE)</f>
        <v>bt</v>
      </c>
      <c r="G258" s="96" t="s">
        <v>31</v>
      </c>
      <c r="H258" s="264">
        <f t="shared" si="24"/>
        <v>2232.5</v>
      </c>
      <c r="I258" s="211">
        <f t="shared" si="19"/>
        <v>95.997499999999988</v>
      </c>
      <c r="J258" s="252" t="str">
        <f>VLOOKUP(G258,'Input keuzevariabelen'!$F:$J,3,FALSE)</f>
        <v>km</v>
      </c>
      <c r="K258" s="91">
        <f>SUMIFS('Input keuzevariabelen'!$I:$I,'Input keuzevariabelen'!$F:$F,Data!G258,'Input keuzevariabelen'!$K:$K,Data!D258)</f>
        <v>193</v>
      </c>
      <c r="L258" s="254" t="str">
        <f>VLOOKUP(G258,'Input keuzevariabelen'!$F:$J,5,FALSE)</f>
        <v>gram CO2/km</v>
      </c>
      <c r="M258" s="257">
        <f t="shared" si="20"/>
        <v>1.8527517499999997E-2</v>
      </c>
      <c r="N258" s="267" t="s">
        <v>180</v>
      </c>
      <c r="O258" s="99"/>
      <c r="P258" s="100"/>
      <c r="Q258" s="91">
        <f>SUMIFS('Input keuzevariabelen'!$P:$P,'Input keuzevariabelen'!$M:$M,Data!G258)</f>
        <v>0</v>
      </c>
      <c r="R258" s="212">
        <f t="shared" si="21"/>
        <v>0</v>
      </c>
    </row>
    <row r="259" spans="2:18" ht="17.399999999999999" thickTop="1" thickBot="1" x14ac:dyDescent="0.35">
      <c r="B259" s="124" t="s">
        <v>171</v>
      </c>
      <c r="C259" s="278">
        <f>VLOOKUP(B259,'Input keuzevariabelen'!$B:$C,2,FALSE)</f>
        <v>4.2999999999999997E-2</v>
      </c>
      <c r="D259" s="120">
        <v>2024</v>
      </c>
      <c r="E259" s="125" t="s">
        <v>56</v>
      </c>
      <c r="F259" s="250" t="str">
        <f>VLOOKUP(G259,'Input keuzevariabelen'!$F:$J,2,FALSE)</f>
        <v>bt</v>
      </c>
      <c r="G259" s="96" t="s">
        <v>33</v>
      </c>
      <c r="H259" s="264">
        <f t="shared" si="24"/>
        <v>2546.4285714285711</v>
      </c>
      <c r="I259" s="211">
        <f t="shared" si="19"/>
        <v>109.49642857142855</v>
      </c>
      <c r="J259" s="252" t="str">
        <f>VLOOKUP(G259,'Input keuzevariabelen'!$F:$J,3,FALSE)</f>
        <v>km</v>
      </c>
      <c r="K259" s="91">
        <f>SUMIFS('Input keuzevariabelen'!$I:$I,'Input keuzevariabelen'!$F:$F,Data!G259,'Input keuzevariabelen'!$K:$K,Data!D259)</f>
        <v>20</v>
      </c>
      <c r="L259" s="254" t="str">
        <f>VLOOKUP(G259,'Input keuzevariabelen'!$F:$J,5,FALSE)</f>
        <v>gram CO2/km</v>
      </c>
      <c r="M259" s="257">
        <f t="shared" si="20"/>
        <v>2.189928571428571E-3</v>
      </c>
      <c r="N259" s="267" t="s">
        <v>180</v>
      </c>
      <c r="O259" s="99"/>
      <c r="P259" s="100"/>
      <c r="Q259" s="91">
        <f>SUMIFS('Input keuzevariabelen'!$P:$P,'Input keuzevariabelen'!$M:$M,Data!G259)</f>
        <v>0</v>
      </c>
      <c r="R259" s="212">
        <f t="shared" si="21"/>
        <v>0</v>
      </c>
    </row>
    <row r="260" spans="2:18" ht="17.399999999999999" thickTop="1" thickBot="1" x14ac:dyDescent="0.35">
      <c r="B260" s="124" t="s">
        <v>171</v>
      </c>
      <c r="C260" s="278">
        <f>VLOOKUP(B260,'Input keuzevariabelen'!$B:$C,2,FALSE)</f>
        <v>4.2999999999999997E-2</v>
      </c>
      <c r="D260" s="120">
        <v>2024</v>
      </c>
      <c r="E260" s="125" t="s">
        <v>56</v>
      </c>
      <c r="F260" s="250" t="str">
        <f>VLOOKUP(G260,'Input keuzevariabelen'!$F:$J,2,FALSE)</f>
        <v>bt</v>
      </c>
      <c r="G260" s="96" t="s">
        <v>34</v>
      </c>
      <c r="H260" s="264">
        <f t="shared" si="24"/>
        <v>2594</v>
      </c>
      <c r="I260" s="211">
        <f t="shared" si="19"/>
        <v>111.54199999999999</v>
      </c>
      <c r="J260" s="252" t="str">
        <f>VLOOKUP(G260,'Input keuzevariabelen'!$F:$J,3,FALSE)</f>
        <v>km</v>
      </c>
      <c r="K260" s="91">
        <f>SUMIFS('Input keuzevariabelen'!$I:$I,'Input keuzevariabelen'!$F:$F,Data!G260,'Input keuzevariabelen'!$K:$K,Data!D260)</f>
        <v>234</v>
      </c>
      <c r="L260" s="254" t="str">
        <f>VLOOKUP(G260,'Input keuzevariabelen'!$F:$J,5,FALSE)</f>
        <v>gram CO2/km</v>
      </c>
      <c r="M260" s="257">
        <f t="shared" si="20"/>
        <v>2.6100827999999996E-2</v>
      </c>
      <c r="N260" s="267" t="s">
        <v>180</v>
      </c>
      <c r="O260" s="99"/>
      <c r="P260" s="100"/>
      <c r="Q260" s="91">
        <f>SUMIFS('Input keuzevariabelen'!$P:$P,'Input keuzevariabelen'!$M:$M,Data!G260)</f>
        <v>0</v>
      </c>
      <c r="R260" s="212">
        <f t="shared" si="21"/>
        <v>0</v>
      </c>
    </row>
    <row r="261" spans="2:18" ht="17.399999999999999" thickTop="1" thickBot="1" x14ac:dyDescent="0.35">
      <c r="B261" s="124" t="s">
        <v>171</v>
      </c>
      <c r="C261" s="278">
        <f>VLOOKUP(B261,'Input keuzevariabelen'!$B:$C,2,FALSE)</f>
        <v>4.2999999999999997E-2</v>
      </c>
      <c r="D261" s="120">
        <v>2024</v>
      </c>
      <c r="E261" s="125" t="s">
        <v>56</v>
      </c>
      <c r="F261" s="250" t="str">
        <f>VLOOKUP(G261,'Input keuzevariabelen'!$F:$J,2,FALSE)</f>
        <v>bt</v>
      </c>
      <c r="G261" s="96" t="s">
        <v>35</v>
      </c>
      <c r="H261" s="264">
        <f t="shared" si="24"/>
        <v>2181.5</v>
      </c>
      <c r="I261" s="211">
        <f t="shared" si="19"/>
        <v>93.80449999999999</v>
      </c>
      <c r="J261" s="252" t="str">
        <f>VLOOKUP(G261,'Input keuzevariabelen'!$F:$J,3,FALSE)</f>
        <v>km</v>
      </c>
      <c r="K261" s="91">
        <f>SUMIFS('Input keuzevariabelen'!$I:$I,'Input keuzevariabelen'!$F:$F,Data!G261,'Input keuzevariabelen'!$K:$K,Data!D261)</f>
        <v>172</v>
      </c>
      <c r="L261" s="254" t="str">
        <f>VLOOKUP(G261,'Input keuzevariabelen'!$F:$J,5,FALSE)</f>
        <v>gram CO2/km</v>
      </c>
      <c r="M261" s="257">
        <f t="shared" si="20"/>
        <v>1.6134373999999996E-2</v>
      </c>
      <c r="N261" s="267" t="s">
        <v>180</v>
      </c>
      <c r="O261" s="99"/>
      <c r="P261" s="100"/>
      <c r="Q261" s="91">
        <f>SUMIFS('Input keuzevariabelen'!$P:$P,'Input keuzevariabelen'!$M:$M,Data!G261)</f>
        <v>0</v>
      </c>
      <c r="R261" s="212">
        <f t="shared" si="21"/>
        <v>0</v>
      </c>
    </row>
    <row r="262" spans="2:18" ht="17.399999999999999" thickTop="1" thickBot="1" x14ac:dyDescent="0.35">
      <c r="B262" s="124"/>
      <c r="C262" s="247" t="e">
        <f>VLOOKUP(B262,'Input keuzevariabelen'!$B:$C,2,FALSE)</f>
        <v>#N/A</v>
      </c>
      <c r="D262" s="120"/>
      <c r="E262" s="125"/>
      <c r="F262" s="250" t="e">
        <f>VLOOKUP(G262,'Input keuzevariabelen'!$F:$J,2,FALSE)</f>
        <v>#N/A</v>
      </c>
      <c r="G262" s="96"/>
      <c r="H262" s="233"/>
      <c r="I262" s="211" t="e">
        <f t="shared" ref="I262:I277" si="25">H262*C262</f>
        <v>#N/A</v>
      </c>
      <c r="J262" s="252" t="e">
        <f>VLOOKUP(G262,'Input keuzevariabelen'!$F:$J,3,FALSE)</f>
        <v>#N/A</v>
      </c>
      <c r="K262" s="91">
        <f>SUMIFS('Input keuzevariabelen'!$I:$I,'Input keuzevariabelen'!$F:$F,Data!G262,'Input keuzevariabelen'!$K:$K,Data!D262)</f>
        <v>0</v>
      </c>
      <c r="L262" s="254" t="e">
        <f>VLOOKUP(G262,'Input keuzevariabelen'!$F:$J,5,FALSE)</f>
        <v>#N/A</v>
      </c>
      <c r="M262" s="257" t="e">
        <f t="shared" ref="M262:M277" si="26">I262*K262/1000000</f>
        <v>#N/A</v>
      </c>
      <c r="N262" s="99"/>
      <c r="O262" s="99"/>
      <c r="P262" s="100"/>
      <c r="Q262" s="91">
        <f>SUMIFS('Input keuzevariabelen'!$P:$P,'Input keuzevariabelen'!$M:$M,Data!G262)</f>
        <v>0</v>
      </c>
      <c r="R262" s="212" t="e">
        <f t="shared" ref="R262:R277" si="27">I262*Q262</f>
        <v>#N/A</v>
      </c>
    </row>
    <row r="263" spans="2:18" ht="17.399999999999999" thickTop="1" thickBot="1" x14ac:dyDescent="0.35">
      <c r="B263" s="124"/>
      <c r="C263" s="247" t="e">
        <f>VLOOKUP(B263,'Input keuzevariabelen'!$B:$C,2,FALSE)</f>
        <v>#N/A</v>
      </c>
      <c r="D263" s="120"/>
      <c r="E263" s="125"/>
      <c r="F263" s="250" t="e">
        <f>VLOOKUP(G263,'Input keuzevariabelen'!$F:$J,2,FALSE)</f>
        <v>#N/A</v>
      </c>
      <c r="G263" s="96"/>
      <c r="H263" s="233"/>
      <c r="I263" s="211" t="e">
        <f t="shared" si="25"/>
        <v>#N/A</v>
      </c>
      <c r="J263" s="252" t="e">
        <f>VLOOKUP(G263,'Input keuzevariabelen'!$F:$J,3,FALSE)</f>
        <v>#N/A</v>
      </c>
      <c r="K263" s="91">
        <f>SUMIFS('Input keuzevariabelen'!$I:$I,'Input keuzevariabelen'!$F:$F,Data!G263,'Input keuzevariabelen'!$K:$K,Data!D263)</f>
        <v>0</v>
      </c>
      <c r="L263" s="254" t="e">
        <f>VLOOKUP(G263,'Input keuzevariabelen'!$F:$J,5,FALSE)</f>
        <v>#N/A</v>
      </c>
      <c r="M263" s="257" t="e">
        <f t="shared" si="26"/>
        <v>#N/A</v>
      </c>
      <c r="N263" s="99"/>
      <c r="O263" s="99"/>
      <c r="P263" s="100"/>
      <c r="Q263" s="91">
        <f>SUMIFS('Input keuzevariabelen'!$P:$P,'Input keuzevariabelen'!$M:$M,Data!G263)</f>
        <v>0</v>
      </c>
      <c r="R263" s="212" t="e">
        <f t="shared" si="27"/>
        <v>#N/A</v>
      </c>
    </row>
    <row r="264" spans="2:18" ht="17.399999999999999" thickTop="1" thickBot="1" x14ac:dyDescent="0.35">
      <c r="B264" s="124"/>
      <c r="C264" s="247" t="e">
        <f>VLOOKUP(B264,'Input keuzevariabelen'!$B:$C,2,FALSE)</f>
        <v>#N/A</v>
      </c>
      <c r="D264" s="120"/>
      <c r="E264" s="125"/>
      <c r="F264" s="250" t="e">
        <f>VLOOKUP(G264,'Input keuzevariabelen'!$F:$J,2,FALSE)</f>
        <v>#N/A</v>
      </c>
      <c r="G264" s="96"/>
      <c r="H264" s="233"/>
      <c r="I264" s="211" t="e">
        <f t="shared" si="25"/>
        <v>#N/A</v>
      </c>
      <c r="J264" s="252" t="e">
        <f>VLOOKUP(G264,'Input keuzevariabelen'!$F:$J,3,FALSE)</f>
        <v>#N/A</v>
      </c>
      <c r="K264" s="91">
        <f>SUMIFS('Input keuzevariabelen'!$I:$I,'Input keuzevariabelen'!$F:$F,Data!G264,'Input keuzevariabelen'!$K:$K,Data!D264)</f>
        <v>0</v>
      </c>
      <c r="L264" s="254" t="e">
        <f>VLOOKUP(G264,'Input keuzevariabelen'!$F:$J,5,FALSE)</f>
        <v>#N/A</v>
      </c>
      <c r="M264" s="257" t="e">
        <f t="shared" si="26"/>
        <v>#N/A</v>
      </c>
      <c r="N264" s="99"/>
      <c r="O264" s="99"/>
      <c r="P264" s="100"/>
      <c r="Q264" s="91">
        <f>SUMIFS('Input keuzevariabelen'!$P:$P,'Input keuzevariabelen'!$M:$M,Data!G264)</f>
        <v>0</v>
      </c>
      <c r="R264" s="212" t="e">
        <f t="shared" si="27"/>
        <v>#N/A</v>
      </c>
    </row>
    <row r="265" spans="2:18" ht="17.399999999999999" thickTop="1" thickBot="1" x14ac:dyDescent="0.35">
      <c r="B265" s="124"/>
      <c r="C265" s="247" t="e">
        <f>VLOOKUP(B265,'Input keuzevariabelen'!$B:$C,2,FALSE)</f>
        <v>#N/A</v>
      </c>
      <c r="D265" s="120"/>
      <c r="E265" s="125"/>
      <c r="F265" s="250" t="e">
        <f>VLOOKUP(G265,'Input keuzevariabelen'!$F:$J,2,FALSE)</f>
        <v>#N/A</v>
      </c>
      <c r="G265" s="96"/>
      <c r="H265" s="233"/>
      <c r="I265" s="211" t="e">
        <f t="shared" si="25"/>
        <v>#N/A</v>
      </c>
      <c r="J265" s="252" t="e">
        <f>VLOOKUP(G265,'Input keuzevariabelen'!$F:$J,3,FALSE)</f>
        <v>#N/A</v>
      </c>
      <c r="K265" s="91">
        <f>SUMIFS('Input keuzevariabelen'!$I:$I,'Input keuzevariabelen'!$F:$F,Data!G265,'Input keuzevariabelen'!$K:$K,Data!D265)</f>
        <v>0</v>
      </c>
      <c r="L265" s="254" t="e">
        <f>VLOOKUP(G265,'Input keuzevariabelen'!$F:$J,5,FALSE)</f>
        <v>#N/A</v>
      </c>
      <c r="M265" s="257" t="e">
        <f t="shared" si="26"/>
        <v>#N/A</v>
      </c>
      <c r="N265" s="99"/>
      <c r="O265" s="99"/>
      <c r="P265" s="100"/>
      <c r="Q265" s="91">
        <f>SUMIFS('Input keuzevariabelen'!$P:$P,'Input keuzevariabelen'!$M:$M,Data!G265)</f>
        <v>0</v>
      </c>
      <c r="R265" s="212" t="e">
        <f t="shared" si="27"/>
        <v>#N/A</v>
      </c>
    </row>
    <row r="266" spans="2:18" ht="17.399999999999999" thickTop="1" thickBot="1" x14ac:dyDescent="0.35">
      <c r="B266" s="124"/>
      <c r="C266" s="247" t="e">
        <f>VLOOKUP(B266,'Input keuzevariabelen'!$B:$C,2,FALSE)</f>
        <v>#N/A</v>
      </c>
      <c r="D266" s="120"/>
      <c r="E266" s="125"/>
      <c r="F266" s="250" t="e">
        <f>VLOOKUP(G266,'Input keuzevariabelen'!$F:$J,2,FALSE)</f>
        <v>#N/A</v>
      </c>
      <c r="G266" s="96"/>
      <c r="H266" s="233"/>
      <c r="I266" s="211" t="e">
        <f t="shared" si="25"/>
        <v>#N/A</v>
      </c>
      <c r="J266" s="252" t="e">
        <f>VLOOKUP(G266,'Input keuzevariabelen'!$F:$J,3,FALSE)</f>
        <v>#N/A</v>
      </c>
      <c r="K266" s="91">
        <f>SUMIFS('Input keuzevariabelen'!$I:$I,'Input keuzevariabelen'!$F:$F,Data!G266,'Input keuzevariabelen'!$K:$K,Data!D266)</f>
        <v>0</v>
      </c>
      <c r="L266" s="254" t="e">
        <f>VLOOKUP(G266,'Input keuzevariabelen'!$F:$J,5,FALSE)</f>
        <v>#N/A</v>
      </c>
      <c r="M266" s="257" t="e">
        <f t="shared" si="26"/>
        <v>#N/A</v>
      </c>
      <c r="N266" s="99"/>
      <c r="O266" s="99"/>
      <c r="P266" s="100"/>
      <c r="Q266" s="91">
        <f>SUMIFS('Input keuzevariabelen'!$P:$P,'Input keuzevariabelen'!$M:$M,Data!G266)</f>
        <v>0</v>
      </c>
      <c r="R266" s="212" t="e">
        <f t="shared" si="27"/>
        <v>#N/A</v>
      </c>
    </row>
    <row r="267" spans="2:18" ht="17.399999999999999" thickTop="1" thickBot="1" x14ac:dyDescent="0.35">
      <c r="B267" s="124"/>
      <c r="C267" s="247" t="e">
        <f>VLOOKUP(B267,'Input keuzevariabelen'!$B:$C,2,FALSE)</f>
        <v>#N/A</v>
      </c>
      <c r="D267" s="120"/>
      <c r="E267" s="125"/>
      <c r="F267" s="250" t="e">
        <f>VLOOKUP(G267,'Input keuzevariabelen'!$F:$J,2,FALSE)</f>
        <v>#N/A</v>
      </c>
      <c r="G267" s="96"/>
      <c r="H267" s="233"/>
      <c r="I267" s="211" t="e">
        <f t="shared" si="25"/>
        <v>#N/A</v>
      </c>
      <c r="J267" s="252" t="e">
        <f>VLOOKUP(G267,'Input keuzevariabelen'!$F:$J,3,FALSE)</f>
        <v>#N/A</v>
      </c>
      <c r="K267" s="91">
        <f>SUMIFS('Input keuzevariabelen'!$I:$I,'Input keuzevariabelen'!$F:$F,Data!G267,'Input keuzevariabelen'!$K:$K,Data!D267)</f>
        <v>0</v>
      </c>
      <c r="L267" s="254" t="e">
        <f>VLOOKUP(G267,'Input keuzevariabelen'!$F:$J,5,FALSE)</f>
        <v>#N/A</v>
      </c>
      <c r="M267" s="257" t="e">
        <f t="shared" si="26"/>
        <v>#N/A</v>
      </c>
      <c r="N267" s="99"/>
      <c r="O267" s="99"/>
      <c r="P267" s="100"/>
      <c r="Q267" s="91">
        <f>SUMIFS('Input keuzevariabelen'!$P:$P,'Input keuzevariabelen'!$M:$M,Data!G267)</f>
        <v>0</v>
      </c>
      <c r="R267" s="212" t="e">
        <f t="shared" si="27"/>
        <v>#N/A</v>
      </c>
    </row>
    <row r="268" spans="2:18" ht="17.399999999999999" thickTop="1" thickBot="1" x14ac:dyDescent="0.35">
      <c r="B268" s="124"/>
      <c r="C268" s="247" t="e">
        <f>VLOOKUP(B268,'Input keuzevariabelen'!$B:$C,2,FALSE)</f>
        <v>#N/A</v>
      </c>
      <c r="D268" s="120"/>
      <c r="E268" s="125"/>
      <c r="F268" s="250" t="e">
        <f>VLOOKUP(G268,'Input keuzevariabelen'!$F:$J,2,FALSE)</f>
        <v>#N/A</v>
      </c>
      <c r="G268" s="96"/>
      <c r="H268" s="233"/>
      <c r="I268" s="211" t="e">
        <f t="shared" si="25"/>
        <v>#N/A</v>
      </c>
      <c r="J268" s="252" t="e">
        <f>VLOOKUP(G268,'Input keuzevariabelen'!$F:$J,3,FALSE)</f>
        <v>#N/A</v>
      </c>
      <c r="K268" s="91">
        <f>SUMIFS('Input keuzevariabelen'!$I:$I,'Input keuzevariabelen'!$F:$F,Data!G268,'Input keuzevariabelen'!$K:$K,Data!D268)</f>
        <v>0</v>
      </c>
      <c r="L268" s="254" t="e">
        <f>VLOOKUP(G268,'Input keuzevariabelen'!$F:$J,5,FALSE)</f>
        <v>#N/A</v>
      </c>
      <c r="M268" s="257" t="e">
        <f t="shared" si="26"/>
        <v>#N/A</v>
      </c>
      <c r="N268" s="99"/>
      <c r="O268" s="99"/>
      <c r="P268" s="100"/>
      <c r="Q268" s="91">
        <f>SUMIFS('Input keuzevariabelen'!$P:$P,'Input keuzevariabelen'!$M:$M,Data!G268)</f>
        <v>0</v>
      </c>
      <c r="R268" s="212" t="e">
        <f t="shared" si="27"/>
        <v>#N/A</v>
      </c>
    </row>
    <row r="269" spans="2:18" ht="17.399999999999999" thickTop="1" thickBot="1" x14ac:dyDescent="0.35">
      <c r="B269" s="124"/>
      <c r="C269" s="247" t="e">
        <f>VLOOKUP(B269,'Input keuzevariabelen'!$B:$C,2,FALSE)</f>
        <v>#N/A</v>
      </c>
      <c r="D269" s="120"/>
      <c r="E269" s="125"/>
      <c r="F269" s="250" t="e">
        <f>VLOOKUP(G269,'Input keuzevariabelen'!$F:$J,2,FALSE)</f>
        <v>#N/A</v>
      </c>
      <c r="G269" s="96"/>
      <c r="H269" s="233"/>
      <c r="I269" s="211" t="e">
        <f t="shared" si="25"/>
        <v>#N/A</v>
      </c>
      <c r="J269" s="252" t="e">
        <f>VLOOKUP(G269,'Input keuzevariabelen'!$F:$J,3,FALSE)</f>
        <v>#N/A</v>
      </c>
      <c r="K269" s="91">
        <f>SUMIFS('Input keuzevariabelen'!$I:$I,'Input keuzevariabelen'!$F:$F,Data!G269,'Input keuzevariabelen'!$K:$K,Data!D269)</f>
        <v>0</v>
      </c>
      <c r="L269" s="254" t="e">
        <f>VLOOKUP(G269,'Input keuzevariabelen'!$F:$J,5,FALSE)</f>
        <v>#N/A</v>
      </c>
      <c r="M269" s="257" t="e">
        <f t="shared" si="26"/>
        <v>#N/A</v>
      </c>
      <c r="N269" s="99"/>
      <c r="O269" s="99"/>
      <c r="P269" s="100"/>
      <c r="Q269" s="91">
        <f>SUMIFS('Input keuzevariabelen'!$P:$P,'Input keuzevariabelen'!$M:$M,Data!G269)</f>
        <v>0</v>
      </c>
      <c r="R269" s="212" t="e">
        <f t="shared" si="27"/>
        <v>#N/A</v>
      </c>
    </row>
    <row r="270" spans="2:18" ht="17.399999999999999" thickTop="1" thickBot="1" x14ac:dyDescent="0.35">
      <c r="B270" s="124"/>
      <c r="C270" s="247" t="e">
        <f>VLOOKUP(B270,'Input keuzevariabelen'!$B:$C,2,FALSE)</f>
        <v>#N/A</v>
      </c>
      <c r="D270" s="120"/>
      <c r="E270" s="125"/>
      <c r="F270" s="250" t="e">
        <f>VLOOKUP(G270,'Input keuzevariabelen'!$F:$J,2,FALSE)</f>
        <v>#N/A</v>
      </c>
      <c r="G270" s="96"/>
      <c r="H270" s="233"/>
      <c r="I270" s="211" t="e">
        <f t="shared" si="25"/>
        <v>#N/A</v>
      </c>
      <c r="J270" s="252" t="e">
        <f>VLOOKUP(G270,'Input keuzevariabelen'!$F:$J,3,FALSE)</f>
        <v>#N/A</v>
      </c>
      <c r="K270" s="91">
        <f>SUMIFS('Input keuzevariabelen'!$I:$I,'Input keuzevariabelen'!$F:$F,Data!G270,'Input keuzevariabelen'!$K:$K,Data!D270)</f>
        <v>0</v>
      </c>
      <c r="L270" s="254" t="e">
        <f>VLOOKUP(G270,'Input keuzevariabelen'!$F:$J,5,FALSE)</f>
        <v>#N/A</v>
      </c>
      <c r="M270" s="257" t="e">
        <f t="shared" si="26"/>
        <v>#N/A</v>
      </c>
      <c r="N270" s="99"/>
      <c r="O270" s="99"/>
      <c r="P270" s="100"/>
      <c r="Q270" s="91">
        <f>SUMIFS('Input keuzevariabelen'!$P:$P,'Input keuzevariabelen'!$M:$M,Data!G270)</f>
        <v>0</v>
      </c>
      <c r="R270" s="212" t="e">
        <f t="shared" si="27"/>
        <v>#N/A</v>
      </c>
    </row>
    <row r="271" spans="2:18" ht="17.399999999999999" thickTop="1" thickBot="1" x14ac:dyDescent="0.35">
      <c r="B271" s="124"/>
      <c r="C271" s="247" t="e">
        <f>VLOOKUP(B271,'Input keuzevariabelen'!$B:$C,2,FALSE)</f>
        <v>#N/A</v>
      </c>
      <c r="D271" s="120"/>
      <c r="E271" s="125"/>
      <c r="F271" s="250" t="e">
        <f>VLOOKUP(G271,'Input keuzevariabelen'!$F:$J,2,FALSE)</f>
        <v>#N/A</v>
      </c>
      <c r="G271" s="96"/>
      <c r="H271" s="233"/>
      <c r="I271" s="211" t="e">
        <f t="shared" si="25"/>
        <v>#N/A</v>
      </c>
      <c r="J271" s="252" t="e">
        <f>VLOOKUP(G271,'Input keuzevariabelen'!$F:$J,3,FALSE)</f>
        <v>#N/A</v>
      </c>
      <c r="K271" s="91">
        <f>SUMIFS('Input keuzevariabelen'!$I:$I,'Input keuzevariabelen'!$F:$F,Data!G271,'Input keuzevariabelen'!$K:$K,Data!D271)</f>
        <v>0</v>
      </c>
      <c r="L271" s="254" t="e">
        <f>VLOOKUP(G271,'Input keuzevariabelen'!$F:$J,5,FALSE)</f>
        <v>#N/A</v>
      </c>
      <c r="M271" s="257" t="e">
        <f t="shared" si="26"/>
        <v>#N/A</v>
      </c>
      <c r="N271" s="99"/>
      <c r="O271" s="99"/>
      <c r="P271" s="100"/>
      <c r="Q271" s="91">
        <f>SUMIFS('Input keuzevariabelen'!$P:$P,'Input keuzevariabelen'!$M:$M,Data!G271)</f>
        <v>0</v>
      </c>
      <c r="R271" s="212" t="e">
        <f t="shared" si="27"/>
        <v>#N/A</v>
      </c>
    </row>
    <row r="272" spans="2:18" ht="17.399999999999999" thickTop="1" thickBot="1" x14ac:dyDescent="0.35">
      <c r="B272" s="124"/>
      <c r="C272" s="247" t="e">
        <f>VLOOKUP(B272,'Input keuzevariabelen'!$B:$C,2,FALSE)</f>
        <v>#N/A</v>
      </c>
      <c r="D272" s="120"/>
      <c r="E272" s="125"/>
      <c r="F272" s="250" t="e">
        <f>VLOOKUP(G272,'Input keuzevariabelen'!$F:$J,2,FALSE)</f>
        <v>#N/A</v>
      </c>
      <c r="G272" s="96"/>
      <c r="H272" s="233"/>
      <c r="I272" s="211" t="e">
        <f t="shared" si="25"/>
        <v>#N/A</v>
      </c>
      <c r="J272" s="252" t="e">
        <f>VLOOKUP(G272,'Input keuzevariabelen'!$F:$J,3,FALSE)</f>
        <v>#N/A</v>
      </c>
      <c r="K272" s="91">
        <f>SUMIFS('Input keuzevariabelen'!$I:$I,'Input keuzevariabelen'!$F:$F,Data!G272,'Input keuzevariabelen'!$K:$K,Data!D272)</f>
        <v>0</v>
      </c>
      <c r="L272" s="254" t="e">
        <f>VLOOKUP(G272,'Input keuzevariabelen'!$F:$J,5,FALSE)</f>
        <v>#N/A</v>
      </c>
      <c r="M272" s="257" t="e">
        <f t="shared" si="26"/>
        <v>#N/A</v>
      </c>
      <c r="N272" s="99"/>
      <c r="O272" s="99"/>
      <c r="P272" s="100"/>
      <c r="Q272" s="91">
        <f>SUMIFS('Input keuzevariabelen'!$P:$P,'Input keuzevariabelen'!$M:$M,Data!G272)</f>
        <v>0</v>
      </c>
      <c r="R272" s="212" t="e">
        <f t="shared" si="27"/>
        <v>#N/A</v>
      </c>
    </row>
    <row r="273" spans="2:18" ht="17.399999999999999" thickTop="1" thickBot="1" x14ac:dyDescent="0.35">
      <c r="B273" s="124"/>
      <c r="C273" s="247" t="e">
        <f>VLOOKUP(B273,'Input keuzevariabelen'!$B:$C,2,FALSE)</f>
        <v>#N/A</v>
      </c>
      <c r="D273" s="120"/>
      <c r="E273" s="125"/>
      <c r="F273" s="250" t="e">
        <f>VLOOKUP(G273,'Input keuzevariabelen'!$F:$J,2,FALSE)</f>
        <v>#N/A</v>
      </c>
      <c r="G273" s="96"/>
      <c r="H273" s="233"/>
      <c r="I273" s="211" t="e">
        <f t="shared" si="25"/>
        <v>#N/A</v>
      </c>
      <c r="J273" s="252" t="e">
        <f>VLOOKUP(G273,'Input keuzevariabelen'!$F:$J,3,FALSE)</f>
        <v>#N/A</v>
      </c>
      <c r="K273" s="91">
        <f>SUMIFS('Input keuzevariabelen'!$I:$I,'Input keuzevariabelen'!$F:$F,Data!G273,'Input keuzevariabelen'!$K:$K,Data!D273)</f>
        <v>0</v>
      </c>
      <c r="L273" s="254" t="e">
        <f>VLOOKUP(G273,'Input keuzevariabelen'!$F:$J,5,FALSE)</f>
        <v>#N/A</v>
      </c>
      <c r="M273" s="257" t="e">
        <f t="shared" si="26"/>
        <v>#N/A</v>
      </c>
      <c r="N273" s="99"/>
      <c r="O273" s="99"/>
      <c r="P273" s="100"/>
      <c r="Q273" s="91">
        <f>SUMIFS('Input keuzevariabelen'!$P:$P,'Input keuzevariabelen'!$M:$M,Data!G273)</f>
        <v>0</v>
      </c>
      <c r="R273" s="212" t="e">
        <f t="shared" si="27"/>
        <v>#N/A</v>
      </c>
    </row>
    <row r="274" spans="2:18" ht="17.399999999999999" thickTop="1" thickBot="1" x14ac:dyDescent="0.35">
      <c r="B274" s="124"/>
      <c r="C274" s="247" t="e">
        <f>VLOOKUP(B274,'Input keuzevariabelen'!$B:$C,2,FALSE)</f>
        <v>#N/A</v>
      </c>
      <c r="D274" s="120"/>
      <c r="E274" s="125"/>
      <c r="F274" s="250" t="e">
        <f>VLOOKUP(G274,'Input keuzevariabelen'!$F:$J,2,FALSE)</f>
        <v>#N/A</v>
      </c>
      <c r="G274" s="96"/>
      <c r="H274" s="233"/>
      <c r="I274" s="211" t="e">
        <f t="shared" si="25"/>
        <v>#N/A</v>
      </c>
      <c r="J274" s="252" t="e">
        <f>VLOOKUP(G274,'Input keuzevariabelen'!$F:$J,3,FALSE)</f>
        <v>#N/A</v>
      </c>
      <c r="K274" s="91">
        <f>SUMIFS('Input keuzevariabelen'!$I:$I,'Input keuzevariabelen'!$F:$F,Data!G274,'Input keuzevariabelen'!$K:$K,Data!D274)</f>
        <v>0</v>
      </c>
      <c r="L274" s="254" t="e">
        <f>VLOOKUP(G274,'Input keuzevariabelen'!$F:$J,5,FALSE)</f>
        <v>#N/A</v>
      </c>
      <c r="M274" s="257" t="e">
        <f t="shared" si="26"/>
        <v>#N/A</v>
      </c>
      <c r="N274" s="103"/>
      <c r="O274" s="99"/>
      <c r="P274" s="100"/>
      <c r="Q274" s="91">
        <f>SUMIFS('Input keuzevariabelen'!$P:$P,'Input keuzevariabelen'!$M:$M,Data!G274)</f>
        <v>0</v>
      </c>
      <c r="R274" s="212" t="e">
        <f t="shared" si="27"/>
        <v>#N/A</v>
      </c>
    </row>
    <row r="275" spans="2:18" ht="17.399999999999999" thickTop="1" thickBot="1" x14ac:dyDescent="0.35">
      <c r="B275" s="124"/>
      <c r="C275" s="247" t="e">
        <f>VLOOKUP(B275,'Input keuzevariabelen'!$B:$C,2,FALSE)</f>
        <v>#N/A</v>
      </c>
      <c r="D275" s="120"/>
      <c r="E275" s="125"/>
      <c r="F275" s="250" t="e">
        <f>VLOOKUP(G275,'Input keuzevariabelen'!$F:$J,2,FALSE)</f>
        <v>#N/A</v>
      </c>
      <c r="G275" s="96"/>
      <c r="H275" s="233"/>
      <c r="I275" s="211" t="e">
        <f t="shared" si="25"/>
        <v>#N/A</v>
      </c>
      <c r="J275" s="252" t="e">
        <f>VLOOKUP(G275,'Input keuzevariabelen'!$F:$J,3,FALSE)</f>
        <v>#N/A</v>
      </c>
      <c r="K275" s="91">
        <f>SUMIFS('Input keuzevariabelen'!$I:$I,'Input keuzevariabelen'!$F:$F,Data!G275,'Input keuzevariabelen'!$K:$K,Data!D275)</f>
        <v>0</v>
      </c>
      <c r="L275" s="254" t="e">
        <f>VLOOKUP(G275,'Input keuzevariabelen'!$F:$J,5,FALSE)</f>
        <v>#N/A</v>
      </c>
      <c r="M275" s="257" t="e">
        <f t="shared" si="26"/>
        <v>#N/A</v>
      </c>
      <c r="O275" s="99"/>
      <c r="P275" s="100"/>
      <c r="Q275" s="91">
        <f>SUMIFS('Input keuzevariabelen'!$P:$P,'Input keuzevariabelen'!$M:$M,Data!G275)</f>
        <v>0</v>
      </c>
      <c r="R275" s="212" t="e">
        <f t="shared" si="27"/>
        <v>#N/A</v>
      </c>
    </row>
    <row r="276" spans="2:18" ht="17.399999999999999" thickTop="1" thickBot="1" x14ac:dyDescent="0.35">
      <c r="B276" s="124"/>
      <c r="C276" s="247" t="e">
        <f>VLOOKUP(B276,'Input keuzevariabelen'!$B:$C,2,FALSE)</f>
        <v>#N/A</v>
      </c>
      <c r="D276" s="120"/>
      <c r="E276" s="125"/>
      <c r="F276" s="250" t="e">
        <f>VLOOKUP(G276,'Input keuzevariabelen'!$F:$J,2,FALSE)</f>
        <v>#N/A</v>
      </c>
      <c r="G276" s="96"/>
      <c r="H276" s="233"/>
      <c r="I276" s="211" t="e">
        <f t="shared" si="25"/>
        <v>#N/A</v>
      </c>
      <c r="J276" s="252" t="e">
        <f>VLOOKUP(G276,'Input keuzevariabelen'!$F:$J,3,FALSE)</f>
        <v>#N/A</v>
      </c>
      <c r="K276" s="91">
        <f>SUMIFS('Input keuzevariabelen'!$I:$I,'Input keuzevariabelen'!$F:$F,Data!G276,'Input keuzevariabelen'!$K:$K,Data!D276)</f>
        <v>0</v>
      </c>
      <c r="L276" s="254" t="e">
        <f>VLOOKUP(G276,'Input keuzevariabelen'!$F:$J,5,FALSE)</f>
        <v>#N/A</v>
      </c>
      <c r="M276" s="257" t="e">
        <f t="shared" si="26"/>
        <v>#N/A</v>
      </c>
      <c r="N276" s="1"/>
      <c r="O276" s="99"/>
      <c r="P276" s="100"/>
      <c r="Q276" s="91">
        <f>SUMIFS('Input keuzevariabelen'!$P:$P,'Input keuzevariabelen'!$M:$M,Data!G276)</f>
        <v>0</v>
      </c>
      <c r="R276" s="212" t="e">
        <f t="shared" si="27"/>
        <v>#N/A</v>
      </c>
    </row>
    <row r="277" spans="2:18" ht="17.399999999999999" thickTop="1" thickBot="1" x14ac:dyDescent="0.35">
      <c r="B277" s="126"/>
      <c r="C277" s="247" t="e">
        <f>VLOOKUP(B277,'Input keuzevariabelen'!$B:$C,2,FALSE)</f>
        <v>#N/A</v>
      </c>
      <c r="D277" s="120"/>
      <c r="E277" s="127"/>
      <c r="F277" s="250" t="e">
        <f>VLOOKUP(G277,'Input keuzevariabelen'!$F:$J,2,FALSE)</f>
        <v>#N/A</v>
      </c>
      <c r="G277" s="96"/>
      <c r="H277" s="235"/>
      <c r="I277" s="211" t="e">
        <f t="shared" si="25"/>
        <v>#N/A</v>
      </c>
      <c r="J277" s="252" t="e">
        <f>VLOOKUP(G277,'Input keuzevariabelen'!$F:$J,3,FALSE)</f>
        <v>#N/A</v>
      </c>
      <c r="K277" s="91">
        <f>SUMIFS('Input keuzevariabelen'!$I:$I,'Input keuzevariabelen'!$F:$F,Data!G277,'Input keuzevariabelen'!$K:$K,Data!D277)</f>
        <v>0</v>
      </c>
      <c r="L277" s="254" t="e">
        <f>VLOOKUP(G277,'Input keuzevariabelen'!$F:$J,5,FALSE)</f>
        <v>#N/A</v>
      </c>
      <c r="M277" s="257" t="e">
        <f t="shared" si="26"/>
        <v>#N/A</v>
      </c>
      <c r="N277" s="1"/>
      <c r="O277" s="103"/>
      <c r="P277" s="104"/>
      <c r="Q277" s="91">
        <f>SUMIFS('Input keuzevariabelen'!$P:$P,'Input keuzevariabelen'!$M:$M,Data!G277)</f>
        <v>0</v>
      </c>
      <c r="R277" s="212" t="e">
        <f t="shared" si="27"/>
        <v>#N/A</v>
      </c>
    </row>
    <row r="278" spans="2:18" ht="16.8" thickTop="1" x14ac:dyDescent="0.3"/>
    <row r="291" spans="4:6" x14ac:dyDescent="0.3">
      <c r="D291" s="2" t="s">
        <v>181</v>
      </c>
      <c r="E291" s="2" t="s">
        <v>182</v>
      </c>
    </row>
    <row r="292" spans="4:6" x14ac:dyDescent="0.3">
      <c r="D292" s="2" t="s">
        <v>25</v>
      </c>
      <c r="E292" s="2">
        <v>261136.07148699492</v>
      </c>
      <c r="F292" s="276">
        <f>E292/SUM(E292:E302)</f>
        <v>2.588394663687087E-3</v>
      </c>
    </row>
    <row r="293" spans="4:6" x14ac:dyDescent="0.3">
      <c r="D293" s="2" t="s">
        <v>27</v>
      </c>
      <c r="E293" s="2">
        <v>7364994</v>
      </c>
    </row>
    <row r="294" spans="4:6" x14ac:dyDescent="0.3">
      <c r="D294" s="2" t="s">
        <v>27</v>
      </c>
      <c r="E294" s="2">
        <v>534024</v>
      </c>
    </row>
    <row r="295" spans="4:6" x14ac:dyDescent="0.3">
      <c r="D295" s="2" t="s">
        <v>27</v>
      </c>
      <c r="E295" s="2">
        <v>3136086</v>
      </c>
    </row>
    <row r="296" spans="4:6" x14ac:dyDescent="0.3">
      <c r="D296" s="2" t="s">
        <v>27</v>
      </c>
      <c r="E296" s="2">
        <v>18130410</v>
      </c>
    </row>
    <row r="297" spans="4:6" x14ac:dyDescent="0.3">
      <c r="D297" s="2" t="s">
        <v>27</v>
      </c>
      <c r="E297" s="2">
        <v>8921418</v>
      </c>
    </row>
    <row r="298" spans="4:6" x14ac:dyDescent="0.3">
      <c r="D298" s="2" t="s">
        <v>27</v>
      </c>
      <c r="E298" s="2">
        <v>38684476</v>
      </c>
    </row>
    <row r="299" spans="4:6" x14ac:dyDescent="0.3">
      <c r="D299" s="2" t="s">
        <v>27</v>
      </c>
      <c r="E299" s="2">
        <v>28892</v>
      </c>
    </row>
    <row r="300" spans="4:6" x14ac:dyDescent="0.3">
      <c r="D300" s="2" t="s">
        <v>27</v>
      </c>
      <c r="E300" s="2">
        <v>22468000</v>
      </c>
    </row>
    <row r="301" spans="4:6" x14ac:dyDescent="0.3">
      <c r="D301" s="2" t="s">
        <v>27</v>
      </c>
      <c r="E301" s="2">
        <v>1298785</v>
      </c>
    </row>
    <row r="302" spans="4:6" x14ac:dyDescent="0.3">
      <c r="D302" s="2" t="s">
        <v>27</v>
      </c>
      <c r="E302" s="2">
        <v>59049</v>
      </c>
    </row>
  </sheetData>
  <autoFilter ref="A3:S277" xr:uid="{D1FDDC59-4C53-4BAA-9B17-E6CA00B66D2A}"/>
  <mergeCells count="1">
    <mergeCell ref="B2:R2"/>
  </mergeCells>
  <phoneticPr fontId="9" type="noConversion"/>
  <conditionalFormatting sqref="B4:M91 N4:R177 B130:M177 B178:P186 Q178:R192 B187:H187 J187:P187 B188:P192 B193:G194 I193:R194 H193:H196 B245:M277 N242:N274 O242:R277 B204:R237 E238:R241 E242:M244 B238:D244">
    <cfRule type="containsBlanks" dxfId="4" priority="32">
      <formula>LEN(TRIM(B4))=0</formula>
    </cfRule>
  </conditionalFormatting>
  <conditionalFormatting sqref="B92:R129">
    <cfRule type="containsBlanks" dxfId="3" priority="11">
      <formula>LEN(TRIM(B92))=0</formula>
    </cfRule>
  </conditionalFormatting>
  <conditionalFormatting sqref="B195:R202 B203:G203 I203:R203">
    <cfRule type="containsBlanks" dxfId="2" priority="4">
      <formula>LEN(TRIM(B195))=0</formula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28292F0-D400-4BC3-8915-8D6C70EF9EFE}">
          <x14:formula1>
            <xm:f>'Input keuzevariabelen'!$F$4:$F$5</xm:f>
          </x14:formula1>
          <xm:sqref>G4:G12 G19:G35</xm:sqref>
        </x14:dataValidation>
        <x14:dataValidation type="list" allowBlank="1" showInputMessage="1" showErrorMessage="1" xr:uid="{D4D4F0AD-64C4-6E4D-93D4-8E1C40D92F5B}">
          <x14:formula1>
            <xm:f>'Input keuzevariabelen'!$F$4:$F$25</xm:f>
          </x14:formula1>
          <xm:sqref>G13:G18 G36:G277</xm:sqref>
        </x14:dataValidation>
        <x14:dataValidation type="list" allowBlank="1" showInputMessage="1" showErrorMessage="1" xr:uid="{8EDA6948-714B-429B-A935-E2011E63EF1F}">
          <x14:formula1>
            <xm:f>'Input keuzevariabelen'!$B$4:$B$13</xm:f>
          </x14:formula1>
          <xm:sqref>P210:P211 B4:B277</xm:sqref>
        </x14:dataValidation>
        <x14:dataValidation type="list" allowBlank="1" showInputMessage="1" showErrorMessage="1" xr:uid="{C558C1F0-EB1E-4E2B-AFD0-58C0B289B876}">
          <x14:formula1>
            <xm:f>'Input keuzevariabelen'!$E$4:$E$5</xm:f>
          </x14:formula1>
          <xm:sqref>E4:E277</xm:sqref>
        </x14:dataValidation>
        <x14:dataValidation type="list" allowBlank="1" showInputMessage="1" showErrorMessage="1" xr:uid="{376370E9-B716-0E44-ACB6-AD5F8DA71E68}">
          <x14:formula1>
            <xm:f>'Input keuzevariabelen'!$D$4:$D$11</xm:f>
          </x14:formula1>
          <xm:sqref>D4:D277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434E9-54B9-8444-8CFC-0655772BE7DE}">
  <dimension ref="B1:X20"/>
  <sheetViews>
    <sheetView zoomScale="70" zoomScaleNormal="70" workbookViewId="0">
      <selection activeCell="C4" sqref="C4:D4"/>
    </sheetView>
  </sheetViews>
  <sheetFormatPr defaultColWidth="12.59765625" defaultRowHeight="15" customHeight="1" x14ac:dyDescent="0.25"/>
  <cols>
    <col min="1" max="1" width="3" style="147" customWidth="1"/>
    <col min="2" max="2" width="48.09765625" style="147" customWidth="1"/>
    <col min="3" max="3" width="27.8984375" style="147" customWidth="1"/>
    <col min="4" max="4" width="18.8984375" style="147" customWidth="1"/>
    <col min="5" max="5" width="20.3984375" style="147" customWidth="1"/>
    <col min="6" max="6" width="15.09765625" style="147" customWidth="1"/>
    <col min="7" max="7" width="10.8984375" style="147" customWidth="1"/>
    <col min="8" max="8" width="50.5" style="147" customWidth="1"/>
    <col min="9" max="9" width="27.09765625" style="147" customWidth="1"/>
    <col min="10" max="10" width="19.59765625" style="147" customWidth="1"/>
    <col min="11" max="11" width="20.59765625" style="147" customWidth="1"/>
    <col min="12" max="12" width="18" style="147" customWidth="1"/>
    <col min="13" max="13" width="10.8984375" style="179" bestFit="1" customWidth="1"/>
    <col min="14" max="14" width="4.8984375" style="179" customWidth="1"/>
    <col min="15" max="20" width="17.09765625" style="179" customWidth="1"/>
    <col min="21" max="21" width="17.09765625" style="147" customWidth="1"/>
    <col min="22" max="29" width="3" style="147" customWidth="1"/>
    <col min="30" max="30" width="20.09765625" style="147" customWidth="1"/>
    <col min="31" max="31" width="21" style="147" customWidth="1"/>
    <col min="32" max="32" width="31.5" style="147" customWidth="1"/>
    <col min="33" max="33" width="8.3984375" style="147" customWidth="1"/>
    <col min="34" max="34" width="10.8984375" style="147" customWidth="1"/>
    <col min="35" max="35" width="8" style="147" customWidth="1"/>
    <col min="36" max="16384" width="12.59765625" style="147"/>
  </cols>
  <sheetData>
    <row r="1" spans="2:24" ht="15.75" customHeight="1" thickBot="1" x14ac:dyDescent="0.35"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</row>
    <row r="2" spans="2:24" ht="24" customHeight="1" thickTop="1" thickBot="1" x14ac:dyDescent="0.35">
      <c r="B2" s="362" t="s">
        <v>183</v>
      </c>
      <c r="C2" s="363"/>
      <c r="D2" s="363"/>
      <c r="E2" s="148"/>
      <c r="F2" s="148"/>
      <c r="G2" s="146"/>
      <c r="H2" s="364" t="s">
        <v>184</v>
      </c>
      <c r="I2" s="365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</row>
    <row r="3" spans="2:24" ht="15.75" customHeight="1" thickTop="1" thickBot="1" x14ac:dyDescent="0.35">
      <c r="B3" s="149" t="s">
        <v>4</v>
      </c>
      <c r="C3" s="366" t="s">
        <v>5</v>
      </c>
      <c r="D3" s="367"/>
      <c r="E3" s="150"/>
      <c r="F3" s="150"/>
      <c r="G3" s="146"/>
      <c r="H3" s="186" t="s">
        <v>4</v>
      </c>
      <c r="I3" s="187" t="s">
        <v>5</v>
      </c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</row>
    <row r="4" spans="2:24" ht="15" customHeight="1" thickTop="1" thickBot="1" x14ac:dyDescent="0.35">
      <c r="B4" s="151" t="s">
        <v>6</v>
      </c>
      <c r="C4" s="368">
        <v>2023</v>
      </c>
      <c r="D4" s="369"/>
      <c r="E4" s="152"/>
      <c r="F4" s="146"/>
      <c r="G4" s="146"/>
      <c r="H4" s="153" t="s">
        <v>7</v>
      </c>
      <c r="I4" s="154" t="s">
        <v>8</v>
      </c>
      <c r="J4" s="152" t="str">
        <f xml:space="preserve"> "Figuur E2. Energieverbruik " &amp; I4</f>
        <v>Figuur E2. Energieverbruik Delfland</v>
      </c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</row>
    <row r="5" spans="2:24" ht="15" customHeight="1" thickBot="1" x14ac:dyDescent="0.35">
      <c r="B5" s="155" t="s">
        <v>9</v>
      </c>
      <c r="C5" s="368" t="s">
        <v>10</v>
      </c>
      <c r="D5" s="369"/>
      <c r="E5" s="146"/>
      <c r="F5" s="146"/>
      <c r="G5" s="146"/>
      <c r="H5" s="151" t="s">
        <v>6</v>
      </c>
      <c r="I5" s="116">
        <v>2023</v>
      </c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</row>
    <row r="6" spans="2:24" ht="15" customHeight="1" thickTop="1" thickBot="1" x14ac:dyDescent="0.35">
      <c r="B6" s="156"/>
      <c r="C6" s="157"/>
      <c r="D6" s="158"/>
      <c r="E6" s="146"/>
      <c r="F6" s="146"/>
      <c r="G6" s="146"/>
      <c r="H6" s="155" t="s">
        <v>9</v>
      </c>
      <c r="I6" s="32" t="s">
        <v>10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</row>
    <row r="7" spans="2:24" ht="15.75" customHeight="1" thickTop="1" thickBot="1" x14ac:dyDescent="0.35">
      <c r="B7" s="146"/>
      <c r="C7" s="146"/>
      <c r="D7" s="159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</row>
    <row r="8" spans="2:24" ht="33.75" customHeight="1" thickTop="1" thickBot="1" x14ac:dyDescent="0.35">
      <c r="B8" s="358" t="s">
        <v>185</v>
      </c>
      <c r="C8" s="359"/>
      <c r="D8" s="359"/>
      <c r="E8" s="359"/>
      <c r="F8" s="359"/>
      <c r="G8" s="160"/>
      <c r="H8" s="360" t="s">
        <v>186</v>
      </c>
      <c r="I8" s="361"/>
      <c r="J8" s="361"/>
      <c r="K8" s="361"/>
      <c r="L8" s="361"/>
      <c r="M8" s="177"/>
      <c r="N8" s="176"/>
      <c r="O8" s="176"/>
      <c r="P8" s="176"/>
      <c r="Q8" s="176"/>
      <c r="R8" s="176"/>
      <c r="S8" s="180"/>
      <c r="T8" s="160"/>
      <c r="U8" s="160"/>
      <c r="V8" s="146"/>
      <c r="W8" s="356"/>
      <c r="X8" s="357"/>
    </row>
    <row r="9" spans="2:24" ht="30" customHeight="1" thickTop="1" thickBot="1" x14ac:dyDescent="0.35">
      <c r="B9" s="161" t="s">
        <v>187</v>
      </c>
      <c r="C9" s="162" t="s">
        <v>14</v>
      </c>
      <c r="D9" s="162" t="s">
        <v>15</v>
      </c>
      <c r="E9" s="163" t="s">
        <v>188</v>
      </c>
      <c r="F9" s="164" t="s">
        <v>189</v>
      </c>
      <c r="G9" s="146"/>
      <c r="H9" s="161" t="s">
        <v>187</v>
      </c>
      <c r="I9" s="162" t="s">
        <v>14</v>
      </c>
      <c r="J9" s="162" t="s">
        <v>15</v>
      </c>
      <c r="K9" s="163" t="s">
        <v>188</v>
      </c>
      <c r="L9" s="164" t="s">
        <v>189</v>
      </c>
      <c r="M9" s="176"/>
      <c r="N9" s="176"/>
      <c r="O9" s="176"/>
      <c r="P9" s="181"/>
      <c r="Q9" s="181"/>
      <c r="R9" s="181"/>
      <c r="S9" s="181"/>
      <c r="T9" s="146"/>
      <c r="U9" s="146"/>
      <c r="V9" s="146"/>
      <c r="W9" s="165"/>
      <c r="X9" s="165"/>
    </row>
    <row r="10" spans="2:24" ht="15.75" customHeight="1" thickTop="1" thickBot="1" x14ac:dyDescent="0.35">
      <c r="B10" s="166" t="s">
        <v>18</v>
      </c>
      <c r="C10" s="40">
        <f>SUMIFS(Data!$I:$I,Data!$G:$G,B10,Data!$D:$D,$C$4,Data!$E:$E,$C$5)</f>
        <v>1069605.3155311565</v>
      </c>
      <c r="D10" s="167" t="s">
        <v>19</v>
      </c>
      <c r="E10" s="168">
        <f>SUMIFS('Input keuzevariabelen'!$P:$P,'Input keuzevariabelen'!$M:$M,B10)</f>
        <v>3.1649999999999998E-2</v>
      </c>
      <c r="F10" s="169">
        <f t="shared" ref="F10:F15" si="0">E10*C10</f>
        <v>33853.008236561102</v>
      </c>
      <c r="G10" s="178">
        <f t="shared" ref="G10:G16" si="1">F10/$F$16</f>
        <v>7.4689671736100832E-2</v>
      </c>
      <c r="H10" s="166" t="s">
        <v>18</v>
      </c>
      <c r="I10" s="49">
        <f>SUMIFS(Data!$I:$I,Data!$G:$G,H10,Data!$D:$D,$I$5,Data!$B:$B,$I$4,Data!$E:$E,$I$6)</f>
        <v>1007664</v>
      </c>
      <c r="J10" s="167" t="s">
        <v>19</v>
      </c>
      <c r="K10" s="168">
        <v>3.1649999999999998E-2</v>
      </c>
      <c r="L10" s="169">
        <f>K10*I10</f>
        <v>31892.565599999998</v>
      </c>
      <c r="M10" s="178">
        <f t="shared" ref="M10:M16" si="2">L10/$L$16</f>
        <v>1.3608816148466419E-2</v>
      </c>
      <c r="N10" s="176"/>
      <c r="O10" s="176"/>
      <c r="P10" s="182"/>
      <c r="Q10" s="182"/>
      <c r="R10" s="182"/>
      <c r="S10" s="183"/>
      <c r="T10" s="146"/>
      <c r="U10" s="146"/>
      <c r="V10" s="146"/>
      <c r="W10" s="170"/>
      <c r="X10" s="171"/>
    </row>
    <row r="11" spans="2:24" ht="15.75" customHeight="1" thickTop="1" thickBot="1" x14ac:dyDescent="0.35">
      <c r="B11" s="166" t="s">
        <v>20</v>
      </c>
      <c r="C11" s="40">
        <f>SUMIFS(Data!$I:$I,Data!$G:$G,B11,Data!$D:$D,$C$4,Data!$E:$E,$C$5)</f>
        <v>41059.025000000001</v>
      </c>
      <c r="D11" s="172" t="s">
        <v>21</v>
      </c>
      <c r="E11" s="168">
        <f>SUMIFS('Input keuzevariabelen'!$P:$P,'Input keuzevariabelen'!$M:$M,B11)</f>
        <v>3.6299999999999999E-2</v>
      </c>
      <c r="F11" s="169">
        <f t="shared" si="0"/>
        <v>1490.4426075000001</v>
      </c>
      <c r="G11" s="178">
        <f t="shared" si="1"/>
        <v>3.2883538242089619E-3</v>
      </c>
      <c r="H11" s="166" t="s">
        <v>20</v>
      </c>
      <c r="I11" s="49">
        <f>SUMIFS(Data!$I:$I,Data!$G:$G,H11,Data!$D:$D,$I$5,Data!$B:$B,$I$4,Data!$E:$E,$I$6)</f>
        <v>26539</v>
      </c>
      <c r="J11" s="172" t="s">
        <v>21</v>
      </c>
      <c r="K11" s="168">
        <v>3.5448E-2</v>
      </c>
      <c r="L11" s="169">
        <f t="shared" ref="L11:L15" si="3">K11*I11</f>
        <v>940.75447199999996</v>
      </c>
      <c r="M11" s="178">
        <f t="shared" si="2"/>
        <v>4.0142755558980804E-4</v>
      </c>
      <c r="N11" s="176"/>
      <c r="O11" s="176"/>
      <c r="P11" s="184"/>
      <c r="Q11" s="184"/>
      <c r="R11" s="184"/>
      <c r="S11" s="185"/>
      <c r="T11" s="146"/>
      <c r="U11" s="146"/>
      <c r="V11" s="146"/>
      <c r="W11" s="146"/>
      <c r="X11" s="171"/>
    </row>
    <row r="12" spans="2:24" ht="15.75" customHeight="1" thickTop="1" thickBot="1" x14ac:dyDescent="0.35">
      <c r="B12" s="166" t="s">
        <v>22</v>
      </c>
      <c r="C12" s="40">
        <f>SUMIFS(Data!$I:$I,Data!$G:$G,B12,Data!$D:$D,$C$4,Data!$E:$E,$C$5)</f>
        <v>36930.339</v>
      </c>
      <c r="D12" s="172" t="s">
        <v>21</v>
      </c>
      <c r="E12" s="168">
        <f>SUMIFS('Input keuzevariabelen'!$P:$P,'Input keuzevariabelen'!$M:$M,B12)</f>
        <v>3.1E-2</v>
      </c>
      <c r="F12" s="169">
        <f t="shared" si="0"/>
        <v>1144.8405089999999</v>
      </c>
      <c r="G12" s="178">
        <f t="shared" si="1"/>
        <v>2.5258541636796867E-3</v>
      </c>
      <c r="H12" s="166" t="s">
        <v>22</v>
      </c>
      <c r="I12" s="49">
        <f>SUMIFS(Data!$I:$I,Data!$G:$G,H12,Data!$D:$D,$I$5,Data!$B:$B,$I$4,Data!$E:$E,$I$6)</f>
        <v>36329</v>
      </c>
      <c r="J12" s="172" t="s">
        <v>21</v>
      </c>
      <c r="K12" s="168">
        <v>3.5448E-2</v>
      </c>
      <c r="L12" s="169">
        <f t="shared" si="3"/>
        <v>1287.7903920000001</v>
      </c>
      <c r="M12" s="178">
        <f t="shared" si="2"/>
        <v>5.4951059448442438E-4</v>
      </c>
      <c r="N12" s="176"/>
      <c r="O12" s="176"/>
      <c r="P12" s="184"/>
      <c r="Q12" s="184"/>
      <c r="R12" s="184"/>
      <c r="S12" s="185"/>
      <c r="T12" s="146"/>
      <c r="U12" s="146"/>
      <c r="V12" s="146"/>
      <c r="W12" s="170"/>
      <c r="X12" s="171"/>
    </row>
    <row r="13" spans="2:24" ht="15.75" customHeight="1" thickTop="1" thickBot="1" x14ac:dyDescent="0.3">
      <c r="B13" s="173" t="s">
        <v>25</v>
      </c>
      <c r="C13" s="40">
        <f>SUMIFS(Data!$I:$I,Data!$G:$G,B13,Data!$D:$D,$C$4,Data!$E:$E,$C$5)</f>
        <v>74684.916445280542</v>
      </c>
      <c r="D13" s="172" t="s">
        <v>21</v>
      </c>
      <c r="E13" s="168">
        <f>SUMIFS('Input keuzevariabelen'!$P:$P,'Input keuzevariabelen'!$M:$M,B13)</f>
        <v>5.2199999999999998E-3</v>
      </c>
      <c r="F13" s="169">
        <f t="shared" si="0"/>
        <v>389.8552638443644</v>
      </c>
      <c r="G13" s="178">
        <f t="shared" si="1"/>
        <v>8.6013513120169539E-4</v>
      </c>
      <c r="H13" s="173" t="s">
        <v>25</v>
      </c>
      <c r="I13" s="49">
        <f>SUMIFS(Data!$I:$I,Data!$G:$G,H13,Data!$D:$D,$I$5,Data!$B:$B,$I$4,Data!$E:$E,$I$6)</f>
        <v>0</v>
      </c>
      <c r="J13" s="172" t="s">
        <v>21</v>
      </c>
      <c r="K13" s="168">
        <v>3.4000000000000002E-2</v>
      </c>
      <c r="L13" s="169">
        <f t="shared" si="3"/>
        <v>0</v>
      </c>
      <c r="M13" s="178">
        <f t="shared" si="2"/>
        <v>0</v>
      </c>
    </row>
    <row r="14" spans="2:24" ht="15.75" customHeight="1" thickTop="1" thickBot="1" x14ac:dyDescent="0.3">
      <c r="B14" s="173" t="s">
        <v>27</v>
      </c>
      <c r="C14" s="40">
        <f>SUMIFS(Data!$I:$I,Data!$G:$G,B14,Data!$D:$D,$C$4,Data!$E:$E,$C$5)</f>
        <v>79755504.241999999</v>
      </c>
      <c r="D14" s="172" t="s">
        <v>21</v>
      </c>
      <c r="E14" s="168">
        <f>SUMIFS('Input keuzevariabelen'!$P:$P,'Input keuzevariabelen'!$M:$M,B14)</f>
        <v>5.2199999999999998E-3</v>
      </c>
      <c r="F14" s="169">
        <f t="shared" si="0"/>
        <v>416323.73214323999</v>
      </c>
      <c r="G14" s="178">
        <f t="shared" si="1"/>
        <v>0.91853234053641386</v>
      </c>
      <c r="H14" s="173" t="s">
        <v>27</v>
      </c>
      <c r="I14" s="49">
        <f>SUMIFS(Data!$I:$I,Data!$G:$G,H14,Data!$D:$D,$I$5,Data!$B:$B,$I$4,Data!$E:$E,$I$6)</f>
        <v>76800300</v>
      </c>
      <c r="J14" s="172" t="s">
        <v>21</v>
      </c>
      <c r="K14" s="168">
        <v>3.0067499999999997E-2</v>
      </c>
      <c r="L14" s="169">
        <f t="shared" si="3"/>
        <v>2309193.0202499996</v>
      </c>
      <c r="M14" s="178">
        <f t="shared" si="2"/>
        <v>0.98535137179130361</v>
      </c>
    </row>
    <row r="15" spans="2:24" thickTop="1" thickBot="1" x14ac:dyDescent="0.3">
      <c r="B15" s="173" t="s">
        <v>28</v>
      </c>
      <c r="C15" s="40">
        <f>SUMIFS(Data!$I:$I,Data!$G:$G,B15,Data!$D:$D,$C$4,Data!$E:$E,$C$5)</f>
        <v>8999.3870000000006</v>
      </c>
      <c r="D15" s="172" t="s">
        <v>190</v>
      </c>
      <c r="E15" s="168">
        <f>SUMIFS('Input keuzevariabelen'!$P:$P,'Input keuzevariabelen'!$M:$M,B15)</f>
        <v>5.2199999999999998E-3</v>
      </c>
      <c r="F15" s="169">
        <f t="shared" si="0"/>
        <v>46.976800140000002</v>
      </c>
      <c r="G15" s="178">
        <f t="shared" si="1"/>
        <v>1.0364460839493888E-4</v>
      </c>
      <c r="H15" s="173" t="s">
        <v>28</v>
      </c>
      <c r="I15" s="49">
        <f>SUMIFS(Data!$I:$I,Data!$G:$G,H15,Data!$D:$D,$I$5,Data!$B:$B,$I$4,Data!$E:$E,$I$6)</f>
        <v>5481</v>
      </c>
      <c r="J15" s="172" t="s">
        <v>190</v>
      </c>
      <c r="K15" s="168">
        <v>3.7999999999999999E-2</v>
      </c>
      <c r="L15" s="169">
        <f t="shared" si="3"/>
        <v>208.27799999999999</v>
      </c>
      <c r="M15" s="178">
        <f t="shared" si="2"/>
        <v>8.8873910155735136E-5</v>
      </c>
    </row>
    <row r="16" spans="2:24" ht="15.75" customHeight="1" thickTop="1" thickBot="1" x14ac:dyDescent="0.3">
      <c r="B16" s="227" t="s">
        <v>191</v>
      </c>
      <c r="C16" s="228"/>
      <c r="D16" s="228"/>
      <c r="E16" s="228"/>
      <c r="F16" s="228">
        <f>SUM(F10:F15)</f>
        <v>453248.85556028545</v>
      </c>
      <c r="G16" s="178">
        <f t="shared" si="1"/>
        <v>1</v>
      </c>
      <c r="H16" s="227" t="s">
        <v>61</v>
      </c>
      <c r="I16" s="228"/>
      <c r="J16" s="228"/>
      <c r="K16" s="228"/>
      <c r="L16" s="228">
        <f>SUM(L10:L15)</f>
        <v>2343522.4087139997</v>
      </c>
      <c r="M16" s="178">
        <f t="shared" si="2"/>
        <v>1</v>
      </c>
    </row>
    <row r="17" spans="2:13" ht="15.75" customHeight="1" thickTop="1" thickBot="1" x14ac:dyDescent="0.35">
      <c r="B17" s="146"/>
      <c r="C17" s="146"/>
      <c r="D17" s="146"/>
      <c r="E17" s="146"/>
      <c r="F17" s="146"/>
      <c r="G17" s="146"/>
      <c r="H17" s="148"/>
      <c r="I17" s="174"/>
      <c r="J17" s="175"/>
      <c r="K17" s="175"/>
      <c r="L17" s="175"/>
      <c r="M17" s="176"/>
    </row>
    <row r="18" spans="2:13" ht="15.75" customHeight="1" thickTop="1" thickBot="1" x14ac:dyDescent="0.35">
      <c r="B18" s="146"/>
      <c r="C18" s="146"/>
      <c r="D18" s="146"/>
      <c r="E18" s="146"/>
      <c r="F18" s="275"/>
      <c r="G18" s="146"/>
      <c r="H18" s="148"/>
      <c r="I18" s="174"/>
      <c r="J18" s="175"/>
      <c r="K18" s="175"/>
      <c r="L18" s="175"/>
      <c r="M18" s="176"/>
    </row>
    <row r="19" spans="2:13" ht="15.75" customHeight="1" thickTop="1" thickBot="1" x14ac:dyDescent="0.35">
      <c r="B19" s="146"/>
      <c r="C19" s="146"/>
      <c r="D19" s="146"/>
      <c r="E19" s="146"/>
      <c r="F19" s="146"/>
      <c r="G19" s="146"/>
      <c r="H19" s="148"/>
      <c r="I19" s="174"/>
      <c r="J19" s="175"/>
      <c r="K19" s="175"/>
      <c r="L19" s="175"/>
      <c r="M19" s="176"/>
    </row>
    <row r="20" spans="2:13" ht="15.75" customHeight="1" thickTop="1" x14ac:dyDescent="0.3">
      <c r="B20" s="146"/>
      <c r="C20" s="146"/>
      <c r="D20" s="146"/>
      <c r="E20" s="146"/>
      <c r="F20" s="146"/>
      <c r="G20" s="146"/>
      <c r="H20" s="148"/>
      <c r="I20" s="174"/>
      <c r="J20" s="175"/>
      <c r="K20" s="175"/>
      <c r="L20" s="175"/>
      <c r="M20" s="176"/>
    </row>
  </sheetData>
  <mergeCells count="8">
    <mergeCell ref="W8:X8"/>
    <mergeCell ref="B8:F8"/>
    <mergeCell ref="H8:L8"/>
    <mergeCell ref="B2:D2"/>
    <mergeCell ref="H2:I2"/>
    <mergeCell ref="C3:D3"/>
    <mergeCell ref="C4:D4"/>
    <mergeCell ref="C5:D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8A157FF-4A11-4644-8070-4271757D3FD3}">
          <x14:formula1>
            <xm:f>'Input keuzevariabelen'!$D$4:$D$14</xm:f>
          </x14:formula1>
          <xm:sqref>C4:D4</xm:sqref>
        </x14:dataValidation>
        <x14:dataValidation type="list" allowBlank="1" showErrorMessage="1" xr:uid="{8311FC02-0281-4C46-BEFA-6B5F2FCD0015}">
          <x14:formula1>
            <xm:f>'Input keuzevariabelen'!$D$4:$D$11</xm:f>
          </x14:formula1>
          <xm:sqref>I5</xm:sqref>
        </x14:dataValidation>
        <x14:dataValidation type="list" allowBlank="1" showInputMessage="1" showErrorMessage="1" xr:uid="{E30617D6-43E0-2B48-AFF0-01DD2BB7B7E0}">
          <x14:formula1>
            <xm:f>'Input keuzevariabelen'!$E$4:$E$5</xm:f>
          </x14:formula1>
          <xm:sqref>C5:D5 I6</xm:sqref>
        </x14:dataValidation>
        <x14:dataValidation type="list" allowBlank="1" showInputMessage="1" showErrorMessage="1" xr:uid="{8986BE51-7B2F-AB4A-9A7B-9658F7A70ECB}">
          <x14:formula1>
            <xm:f>'Input keuzevariabelen'!$B$4:$B$14</xm:f>
          </x14:formula1>
          <xm:sqref>I4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B9935-B0D9-4749-BB64-CA620C1380E0}">
  <dimension ref="B1:AD28"/>
  <sheetViews>
    <sheetView showGridLines="0" zoomScale="60" zoomScaleNormal="60" workbookViewId="0">
      <selection activeCell="G32" sqref="G32"/>
    </sheetView>
  </sheetViews>
  <sheetFormatPr defaultColWidth="8.59765625" defaultRowHeight="16.2" x14ac:dyDescent="0.3"/>
  <cols>
    <col min="1" max="1" width="3.3984375" style="142" customWidth="1"/>
    <col min="2" max="2" width="31.8984375" style="142" customWidth="1"/>
    <col min="3" max="3" width="11.8984375" style="142" customWidth="1"/>
    <col min="4" max="4" width="12.09765625" style="142" customWidth="1"/>
    <col min="5" max="5" width="13" style="142" customWidth="1"/>
    <col min="6" max="6" width="16" style="142" customWidth="1"/>
    <col min="7" max="7" width="12.59765625" style="142" customWidth="1"/>
    <col min="8" max="9" width="0" style="142" hidden="1" customWidth="1"/>
    <col min="10" max="21" width="8.59765625" style="142"/>
    <col min="22" max="22" width="28.5" style="142" customWidth="1"/>
    <col min="23" max="23" width="13.09765625" style="142" customWidth="1"/>
    <col min="24" max="25" width="14.09765625" style="142" customWidth="1"/>
    <col min="26" max="26" width="13.5" style="142" customWidth="1"/>
    <col min="27" max="27" width="16.19921875" style="142" customWidth="1"/>
    <col min="28" max="28" width="13.09765625" style="142" bestFit="1" customWidth="1"/>
    <col min="29" max="16384" width="8.59765625" style="142"/>
  </cols>
  <sheetData>
    <row r="1" spans="2:30" ht="16.8" thickBot="1" x14ac:dyDescent="0.35"/>
    <row r="2" spans="2:30" ht="17.399999999999999" thickTop="1" thickBot="1" x14ac:dyDescent="0.35">
      <c r="B2" s="351" t="s">
        <v>192</v>
      </c>
      <c r="C2" s="352"/>
      <c r="D2" s="352"/>
      <c r="E2" s="352"/>
      <c r="F2" s="352"/>
      <c r="G2" s="352"/>
      <c r="H2" s="352"/>
      <c r="I2" s="352"/>
      <c r="V2" s="351" t="s">
        <v>193</v>
      </c>
      <c r="W2" s="352"/>
      <c r="X2" s="352"/>
      <c r="Y2" s="352"/>
      <c r="Z2" s="352"/>
      <c r="AA2" s="352"/>
      <c r="AB2" s="352"/>
      <c r="AC2" s="352"/>
    </row>
    <row r="3" spans="2:30" ht="17.399999999999999" thickTop="1" thickBot="1" x14ac:dyDescent="0.35">
      <c r="B3" s="46" t="s">
        <v>194</v>
      </c>
      <c r="C3" s="44">
        <f>'Input keuzevariabelen'!$D$4</f>
        <v>2019</v>
      </c>
      <c r="D3" s="46">
        <f>C3+1</f>
        <v>2020</v>
      </c>
      <c r="E3" s="44">
        <f>D3+1</f>
        <v>2021</v>
      </c>
      <c r="F3" s="46">
        <f t="shared" ref="F3" si="0">E3+1</f>
        <v>2022</v>
      </c>
      <c r="G3" s="44">
        <f t="shared" ref="G3" si="1">F3+1</f>
        <v>2023</v>
      </c>
      <c r="H3" s="46">
        <f t="shared" ref="H3" si="2">G3+1</f>
        <v>2024</v>
      </c>
      <c r="I3" s="44">
        <f t="shared" ref="I3" si="3">H3+1</f>
        <v>2025</v>
      </c>
      <c r="V3" s="46" t="s">
        <v>194</v>
      </c>
      <c r="W3" s="44">
        <f>'Input keuzevariabelen'!$D$4</f>
        <v>2019</v>
      </c>
      <c r="X3" s="46">
        <f>W3+1</f>
        <v>2020</v>
      </c>
      <c r="Y3" s="44">
        <f>X3+1</f>
        <v>2021</v>
      </c>
      <c r="Z3" s="46">
        <f t="shared" ref="Z3" si="4">Y3+1</f>
        <v>2022</v>
      </c>
      <c r="AA3" s="44">
        <f t="shared" ref="AA3" si="5">Z3+1</f>
        <v>2023</v>
      </c>
      <c r="AB3" s="46">
        <f t="shared" ref="AB3" si="6">AA3+1</f>
        <v>2024</v>
      </c>
      <c r="AC3" s="44">
        <f t="shared" ref="AC3" si="7">AB3+1</f>
        <v>2025</v>
      </c>
    </row>
    <row r="4" spans="2:30" ht="17.399999999999999" thickTop="1" thickBot="1" x14ac:dyDescent="0.35">
      <c r="B4" s="46"/>
      <c r="C4" s="370" t="s">
        <v>10</v>
      </c>
      <c r="D4" s="371"/>
      <c r="E4" s="371"/>
      <c r="F4" s="371"/>
      <c r="G4" s="371"/>
      <c r="H4" s="371"/>
      <c r="I4" s="372"/>
      <c r="V4" s="46"/>
      <c r="W4" s="370" t="s">
        <v>10</v>
      </c>
      <c r="X4" s="371"/>
      <c r="Y4" s="371"/>
      <c r="Z4" s="371"/>
      <c r="AA4" s="371"/>
      <c r="AB4" s="371"/>
      <c r="AC4" s="372"/>
    </row>
    <row r="5" spans="2:30" ht="17.399999999999999" thickTop="1" thickBot="1" x14ac:dyDescent="0.35">
      <c r="B5" s="229" t="s">
        <v>105</v>
      </c>
      <c r="C5" s="40">
        <f>SUMIFS(Data!$I:$I,Data!$G:$G,"Aardgasverbruik",Data!$P:$P,$B5,Data!$D:$D,C$3,Data!$E:$E,$C$4)</f>
        <v>2662</v>
      </c>
      <c r="D5" s="40">
        <f>SUMIFS(Data!$I:$I,Data!$G:$G,"Aardgasverbruik",Data!$P:$P,$B5,Data!$D:$D,D$3,Data!$E:$E,$C$4)</f>
        <v>11050</v>
      </c>
      <c r="E5" s="40">
        <f>SUMIFS(Data!$I:$I,Data!$G:$G,"Aardgasverbruik",Data!$P:$P,$B5,Data!$D:$D,E$3,Data!$E:$E,$C$4)</f>
        <v>10389</v>
      </c>
      <c r="F5" s="40">
        <f>SUMIFS(Data!$I:$I,Data!$G:$G,"Aardgasverbruik",Data!$P:$P,$B5,Data!$D:$D,F$3,Data!$E:$E,$C$4)</f>
        <v>25337</v>
      </c>
      <c r="G5" s="40">
        <f>SUMIFS(Data!$I:$I,Data!$G:$G,"Aardgasverbruik",Data!$P:$P,$B5,Data!$D:$D,G$3,Data!$E:$E,$C$4)</f>
        <v>6655</v>
      </c>
      <c r="H5" s="40">
        <f>SUMIFS(Data!$I:$I,Data!$G:$G,"Aardgasverbruik",Data!$P:$P,$B5,Data!$D:$D,H$3,Data!$E:$E,$C$4)</f>
        <v>0</v>
      </c>
      <c r="I5" s="40">
        <f>SUMIFS(Data!$I:$I,Data!$G:$G,"Aardgasverbruik",Data!$P:$P,$B5,Data!$D:$D,I$3,Data!$E:$E,$C$4)</f>
        <v>0</v>
      </c>
      <c r="J5" s="272">
        <f>G5/F5</f>
        <v>0.26265935193590401</v>
      </c>
      <c r="V5" s="39" t="s">
        <v>105</v>
      </c>
      <c r="W5" s="40">
        <f>SUMIFS(Data!$I:$I,Data!$G:$G,"Elektriciteitsverbruik - gr*",Data!$P:$P,$V5,Data!$D:$D,W$3,Data!$E:$E,$W$4)</f>
        <v>1946765</v>
      </c>
      <c r="X5" s="40">
        <f>SUMIFS(Data!$I:$I,Data!$G:$G,"Elektriciteitsverbruik - gr*",Data!$P:$P,$V5,Data!$D:$D,X$3,Data!$E:$E,$W$4)</f>
        <v>2451325</v>
      </c>
      <c r="Y5" s="40">
        <f>SUMIFS(Data!$I:$I,Data!$G:$G,"Elektriciteitsverbruik - gr*",Data!$P:$P,$V5,Data!$D:$D,Y$3,Data!$E:$E,$W$4)</f>
        <v>2245773</v>
      </c>
      <c r="Z5" s="40">
        <f>SUMIFS(Data!$I:$I,Data!$G:$G,"Elektriciteitsverbruik - gr*",Data!$P:$P,$V5,Data!$D:$D,Z$3,Data!$E:$E,$W$4)</f>
        <v>2891445</v>
      </c>
      <c r="AA5" s="40">
        <f>SUMIFS(Data!$I:$I,Data!$G:$G,"Elektriciteitsverbruik - gr*",Data!$P:$P,$V5,Data!$D:$D,AA$3,Data!$E:$E,$W$4)</f>
        <v>3136086</v>
      </c>
      <c r="AB5" s="40">
        <f>SUMIFS(Data!$I:$I,Data!$G:$G,"Elektriciteitsverbruik - gr*",Data!$P:$P,$V5,Data!$D:$D,AB$3,Data!$E:$E,$W$4)</f>
        <v>0</v>
      </c>
      <c r="AC5" s="40">
        <f>SUMIFS(Data!$I:$I,Data!$G:$G,"Elektriciteitsverbruik - gr*",Data!$P:$P,$V5,Data!$D:$D,AC$3,Data!$E:$E,$W$4)</f>
        <v>0</v>
      </c>
      <c r="AD5" s="272">
        <f>AA5/Z5</f>
        <v>1.0846085607715175</v>
      </c>
    </row>
    <row r="6" spans="2:30" ht="17.399999999999999" thickTop="1" thickBot="1" x14ac:dyDescent="0.35">
      <c r="B6" s="229" t="s">
        <v>107</v>
      </c>
      <c r="C6" s="40">
        <f>SUMIFS(Data!$I:$I,Data!$G:$G,"Aardgasverbruik",Data!$P:$P,$B6,Data!$D:$D,C$3,Data!$E:$E,$C$4)</f>
        <v>9335</v>
      </c>
      <c r="D6" s="40">
        <f>SUMIFS(Data!$I:$I,Data!$G:$G,"Aardgasverbruik",Data!$P:$P,$B6,Data!$D:$D,D$3,Data!$E:$E,$C$4)</f>
        <v>40029</v>
      </c>
      <c r="E6" s="40">
        <f>SUMIFS(Data!$I:$I,Data!$G:$G,"Aardgasverbruik",Data!$P:$P,$B6,Data!$D:$D,E$3,Data!$E:$E,$C$4)</f>
        <v>482075</v>
      </c>
      <c r="F6" s="40">
        <f>SUMIFS(Data!$I:$I,Data!$G:$G,"Aardgasverbruik",Data!$P:$P,$B6,Data!$D:$D,F$3,Data!$E:$E,$C$4)</f>
        <v>92909</v>
      </c>
      <c r="G6" s="40">
        <f>SUMIFS(Data!$I:$I,Data!$G:$G,"Aardgasverbruik",Data!$P:$P,$B6,Data!$D:$D,G$3,Data!$E:$E,$C$4)</f>
        <v>43677</v>
      </c>
      <c r="H6" s="40">
        <f>SUMIFS(Data!$I:$I,Data!$G:$G,"Aardgasverbruik",Data!$P:$P,$B6,Data!$D:$D,H$3,Data!$E:$E,$C$4)</f>
        <v>0</v>
      </c>
      <c r="I6" s="40">
        <f>SUMIFS(Data!$I:$I,Data!$G:$G,"Aardgasverbruik",Data!$P:$P,$B6,Data!$D:$D,I$3,Data!$E:$E,$C$4)</f>
        <v>0</v>
      </c>
      <c r="J6" s="272">
        <f t="shared" ref="J6:J14" si="8">G6/F6</f>
        <v>0.47010515665866598</v>
      </c>
      <c r="V6" s="39" t="s">
        <v>107</v>
      </c>
      <c r="W6" s="40">
        <f>SUMIFS(Data!$I:$I,Data!$G:$G,"Elektriciteitsverbruik - gr*",Data!$P:$P,$V6,Data!$D:$D,W$3,Data!$E:$E,$W$4)</f>
        <v>9625157</v>
      </c>
      <c r="X6" s="40">
        <f>SUMIFS(Data!$I:$I,Data!$G:$G,"Elektriciteitsverbruik - gr*",Data!$P:$P,$V6,Data!$D:$D,X$3,Data!$E:$E,$W$4)</f>
        <v>9641890</v>
      </c>
      <c r="Y6" s="40">
        <f>SUMIFS(Data!$I:$I,Data!$G:$G,"Elektriciteitsverbruik - gr*",Data!$P:$P,$V6,Data!$D:$D,Y$3,Data!$E:$E,$W$4)</f>
        <v>15271504</v>
      </c>
      <c r="Z6" s="40">
        <f>SUMIFS(Data!$I:$I,Data!$G:$G,"Elektriciteitsverbruik - gr*",Data!$P:$P,$V6,Data!$D:$D,Z$3,Data!$E:$E,$W$4)</f>
        <v>16675596</v>
      </c>
      <c r="AA6" s="40">
        <f>SUMIFS(Data!$I:$I,Data!$G:$G,"Elektriciteitsverbruik - gr*",Data!$P:$P,$V6,Data!$D:$D,AA$3,Data!$E:$E,$W$4)</f>
        <v>18130410</v>
      </c>
      <c r="AB6" s="40">
        <f>SUMIFS(Data!$I:$I,Data!$G:$G,"Elektriciteitsverbruik - gr*",Data!$P:$P,$V6,Data!$D:$D,AB$3,Data!$E:$E,$W$4)</f>
        <v>0</v>
      </c>
      <c r="AC6" s="40">
        <f>SUMIFS(Data!$I:$I,Data!$G:$G,"Elektriciteitsverbruik - gr*",Data!$P:$P,$V6,Data!$D:$D,AC$3,Data!$E:$E,$W$4)</f>
        <v>0</v>
      </c>
      <c r="AD6" s="272">
        <f t="shared" ref="AD6:AD14" si="9">AA6/Z6</f>
        <v>1.087242099172947</v>
      </c>
    </row>
    <row r="7" spans="2:30" ht="17.399999999999999" thickTop="1" thickBot="1" x14ac:dyDescent="0.35">
      <c r="B7" s="229" t="s">
        <v>108</v>
      </c>
      <c r="C7" s="40">
        <f>SUMIFS(Data!$I:$I,Data!$G:$G,"Aardgasverbruik",Data!$P:$P,$B7,Data!$D:$D,C$3,Data!$E:$E,$C$4)</f>
        <v>423364</v>
      </c>
      <c r="D7" s="40">
        <f>SUMIFS(Data!$I:$I,Data!$G:$G,"Aardgasverbruik",Data!$P:$P,$B7,Data!$D:$D,D$3,Data!$E:$E,$C$4)</f>
        <v>447554</v>
      </c>
      <c r="E7" s="40">
        <f>SUMIFS(Data!$I:$I,Data!$G:$G,"Aardgasverbruik",Data!$P:$P,$B7,Data!$D:$D,E$3,Data!$E:$E,$C$4)</f>
        <v>421887</v>
      </c>
      <c r="F7" s="40">
        <f>SUMIFS(Data!$I:$I,Data!$G:$G,"Aardgasverbruik",Data!$P:$P,$B7,Data!$D:$D,F$3,Data!$E:$E,$C$4)</f>
        <v>477403</v>
      </c>
      <c r="G7" s="40">
        <f>SUMIFS(Data!$I:$I,Data!$G:$G,"Aardgasverbruik",Data!$P:$P,$B7,Data!$D:$D,G$3,Data!$E:$E,$C$4)</f>
        <v>455720</v>
      </c>
      <c r="H7" s="40">
        <f>SUMIFS(Data!$I:$I,Data!$G:$G,"Aardgasverbruik",Data!$P:$P,$B7,Data!$D:$D,H$3,Data!$E:$E,$C$4)</f>
        <v>0</v>
      </c>
      <c r="I7" s="40">
        <f>SUMIFS(Data!$I:$I,Data!$G:$G,"Aardgasverbruik",Data!$P:$P,$B7,Data!$D:$D,I$3,Data!$E:$E,$C$4)</f>
        <v>0</v>
      </c>
      <c r="J7" s="272">
        <f t="shared" si="8"/>
        <v>0.95458134950974338</v>
      </c>
      <c r="V7" s="39" t="s">
        <v>108</v>
      </c>
      <c r="W7" s="40">
        <f>SUMIFS(Data!$I:$I,Data!$G:$G,"Elektriciteitsverbruik - gr*",Data!$P:$P,$V7,Data!$D:$D,W$3,Data!$E:$E,$W$4)</f>
        <v>9746444</v>
      </c>
      <c r="X7" s="40">
        <f>SUMIFS(Data!$I:$I,Data!$G:$G,"Elektriciteitsverbruik - gr*",Data!$P:$P,$V7,Data!$D:$D,X$3,Data!$E:$E,$W$4)</f>
        <v>8914312</v>
      </c>
      <c r="Y7" s="40">
        <f>SUMIFS(Data!$I:$I,Data!$G:$G,"Elektriciteitsverbruik - gr*",Data!$P:$P,$V7,Data!$D:$D,Y$3,Data!$E:$E,$W$4)</f>
        <v>8695438</v>
      </c>
      <c r="Z7" s="40">
        <f>SUMIFS(Data!$I:$I,Data!$G:$G,"Elektriciteitsverbruik - gr*",Data!$P:$P,$V7,Data!$D:$D,Z$3,Data!$E:$E,$W$4)</f>
        <v>8796775</v>
      </c>
      <c r="AA7" s="40">
        <f>SUMIFS(Data!$I:$I,Data!$G:$G,"Elektriciteitsverbruik - gr*",Data!$P:$P,$V7,Data!$D:$D,AA$3,Data!$E:$E,$W$4)</f>
        <v>8921418</v>
      </c>
      <c r="AB7" s="40">
        <f>SUMIFS(Data!$I:$I,Data!$G:$G,"Elektriciteitsverbruik - gr*",Data!$P:$P,$V7,Data!$D:$D,AB$3,Data!$E:$E,$W$4)</f>
        <v>0</v>
      </c>
      <c r="AC7" s="40">
        <f>SUMIFS(Data!$I:$I,Data!$G:$G,"Elektriciteitsverbruik - gr*",Data!$P:$P,$V7,Data!$D:$D,AC$3,Data!$E:$E,$W$4)</f>
        <v>0</v>
      </c>
      <c r="AD7" s="272">
        <f t="shared" si="9"/>
        <v>1.0141691699514879</v>
      </c>
    </row>
    <row r="8" spans="2:30" ht="17.399999999999999" thickTop="1" thickBot="1" x14ac:dyDescent="0.35">
      <c r="B8" s="229" t="s">
        <v>110</v>
      </c>
      <c r="C8" s="40">
        <f>SUMIFS(Data!$I:$I,Data!$G:$G,"Aardgasverbruik",Data!$P:$P,$B8,Data!$D:$D,C$3,Data!$E:$E,$C$4)</f>
        <v>327133</v>
      </c>
      <c r="D8" s="40">
        <f>SUMIFS(Data!$I:$I,Data!$G:$G,"Aardgasverbruik",Data!$P:$P,$B8,Data!$D:$D,D$3,Data!$E:$E,$C$4)</f>
        <v>924165</v>
      </c>
      <c r="E8" s="40">
        <f>SUMIFS(Data!$I:$I,Data!$G:$G,"Aardgasverbruik",Data!$P:$P,$B8,Data!$D:$D,E$3,Data!$E:$E,$C$4)</f>
        <v>1028829</v>
      </c>
      <c r="F8" s="40">
        <f>SUMIFS(Data!$I:$I,Data!$G:$G,"Aardgasverbruik",Data!$P:$P,$B8,Data!$D:$D,F$3,Data!$E:$E,$C$4)</f>
        <v>953581</v>
      </c>
      <c r="G8" s="40">
        <f>SUMIFS(Data!$I:$I,Data!$G:$G,"Aardgasverbruik",Data!$P:$P,$B8,Data!$D:$D,G$3,Data!$E:$E,$C$4)</f>
        <v>454501</v>
      </c>
      <c r="H8" s="40">
        <f>SUMIFS(Data!$I:$I,Data!$G:$G,"Aardgasverbruik",Data!$P:$P,$B8,Data!$D:$D,H$3,Data!$E:$E,$C$4)</f>
        <v>0</v>
      </c>
      <c r="I8" s="40">
        <f>SUMIFS(Data!$I:$I,Data!$G:$G,"Aardgasverbruik",Data!$P:$P,$B8,Data!$D:$D,I$3,Data!$E:$E,$C$4)</f>
        <v>0</v>
      </c>
      <c r="J8" s="272">
        <f t="shared" si="8"/>
        <v>0.47662547806636246</v>
      </c>
      <c r="V8" s="39" t="s">
        <v>110</v>
      </c>
      <c r="W8" s="40">
        <f>SUMIFS(Data!$I:$I,Data!$G:$G,"Elektriciteitsverbruik - gr*",Data!$P:$P,$V8,Data!$D:$D,W$3,Data!$E:$E,$W$4)</f>
        <v>24116233</v>
      </c>
      <c r="X8" s="40">
        <f>SUMIFS(Data!$I:$I,Data!$G:$G,"Elektriciteitsverbruik - gr*",Data!$P:$P,$V8,Data!$D:$D,X$3,Data!$E:$E,$W$4)</f>
        <v>36226744</v>
      </c>
      <c r="Y8" s="40">
        <f>SUMIFS(Data!$I:$I,Data!$G:$G,"Elektriciteitsverbruik - gr*",Data!$P:$P,$V8,Data!$D:$D,Y$3,Data!$E:$E,$W$4)</f>
        <v>37075339</v>
      </c>
      <c r="Z8" s="40">
        <f>SUMIFS(Data!$I:$I,Data!$G:$G,"Elektriciteitsverbruik - gr*",Data!$P:$P,$V8,Data!$D:$D,Z$3,Data!$E:$E,$W$4)</f>
        <v>36645467</v>
      </c>
      <c r="AA8" s="40">
        <f>SUMIFS(Data!$I:$I,Data!$G:$G,"Elektriciteitsverbruik - gr*",Data!$P:$P,$V8,Data!$D:$D,AA$3,Data!$E:$E,$W$4)</f>
        <v>38713368</v>
      </c>
      <c r="AB8" s="40">
        <f>SUMIFS(Data!$I:$I,Data!$G:$G,"Elektriciteitsverbruik - gr*",Data!$P:$P,$V8,Data!$D:$D,AB$3,Data!$E:$E,$W$4)</f>
        <v>0</v>
      </c>
      <c r="AC8" s="40">
        <f>SUMIFS(Data!$I:$I,Data!$G:$G,"Elektriciteitsverbruik - gr*",Data!$P:$P,$V8,Data!$D:$D,AC$3,Data!$E:$E,$W$4)</f>
        <v>0</v>
      </c>
      <c r="AD8" s="272">
        <f t="shared" si="9"/>
        <v>1.0564299262443564</v>
      </c>
    </row>
    <row r="9" spans="2:30" ht="17.399999999999999" thickTop="1" thickBot="1" x14ac:dyDescent="0.35">
      <c r="B9" s="229" t="s">
        <v>103</v>
      </c>
      <c r="C9" s="40">
        <f>SUMIFS(Data!$I:$I,Data!$G:$G,"Aardgasverbruik",Data!$P:$P,$B9,Data!$D:$D,C$3,Data!$E:$E,$C$4)</f>
        <v>32036</v>
      </c>
      <c r="D9" s="40">
        <f>SUMIFS(Data!$I:$I,Data!$G:$G,"Aardgasverbruik",Data!$P:$P,$B9,Data!$D:$D,D$3,Data!$E:$E,$C$4)</f>
        <v>19840</v>
      </c>
      <c r="E9" s="40">
        <f>SUMIFS(Data!$I:$I,Data!$G:$G,"Aardgasverbruik",Data!$P:$P,$B9,Data!$D:$D,E$3,Data!$E:$E,$C$4)</f>
        <v>16562</v>
      </c>
      <c r="F9" s="40">
        <f>SUMIFS(Data!$I:$I,Data!$G:$G,"Aardgasverbruik",Data!$P:$P,$B9,Data!$D:$D,F$3,Data!$E:$E,$C$4)</f>
        <v>7183</v>
      </c>
      <c r="G9" s="40">
        <f>SUMIFS(Data!$I:$I,Data!$G:$G,"Aardgasverbruik",Data!$P:$P,$B9,Data!$D:$D,G$3,Data!$E:$E,$C$4)</f>
        <v>0</v>
      </c>
      <c r="H9" s="40">
        <f>SUMIFS(Data!$I:$I,Data!$G:$G,"Aardgasverbruik",Data!$P:$P,$B9,Data!$D:$D,H$3,Data!$E:$E,$C$4)</f>
        <v>0</v>
      </c>
      <c r="I9" s="40">
        <f>SUMIFS(Data!$I:$I,Data!$G:$G,"Aardgasverbruik",Data!$P:$P,$B9,Data!$D:$D,I$3,Data!$E:$E,$C$4)</f>
        <v>0</v>
      </c>
      <c r="J9" s="272">
        <f t="shared" si="8"/>
        <v>0</v>
      </c>
      <c r="V9" s="39" t="s">
        <v>103</v>
      </c>
      <c r="W9" s="40">
        <f>SUMIFS(Data!$I:$I,Data!$G:$G,"Elektriciteitsverbruik - gr*",Data!$P:$P,$V9,Data!$D:$D,W$3,Data!$E:$E,$W$4)</f>
        <v>5406947</v>
      </c>
      <c r="X9" s="40">
        <f>SUMIFS(Data!$I:$I,Data!$G:$G,"Elektriciteitsverbruik - gr*",Data!$P:$P,$V9,Data!$D:$D,X$3,Data!$E:$E,$W$4)</f>
        <v>6160827</v>
      </c>
      <c r="Y9" s="40">
        <f>SUMIFS(Data!$I:$I,Data!$G:$G,"Elektriciteitsverbruik - gr*",Data!$P:$P,$V9,Data!$D:$D,Y$3,Data!$E:$E,$W$4)</f>
        <v>5441254</v>
      </c>
      <c r="Z9" s="40">
        <f>SUMIFS(Data!$I:$I,Data!$G:$G,"Elektriciteitsverbruik - gr*",Data!$P:$P,$V9,Data!$D:$D,Z$3,Data!$E:$E,$W$4)</f>
        <v>5683008</v>
      </c>
      <c r="AA9" s="40">
        <f>SUMIFS(Data!$I:$I,Data!$G:$G,"Elektriciteitsverbruik - gr*",Data!$P:$P,$V9,Data!$D:$D,AA$3,Data!$E:$E,$W$4)</f>
        <v>7364994</v>
      </c>
      <c r="AB9" s="40">
        <f>SUMIFS(Data!$I:$I,Data!$G:$G,"Elektriciteitsverbruik - gr*",Data!$P:$P,$V9,Data!$D:$D,AB$3,Data!$E:$E,$W$4)</f>
        <v>0</v>
      </c>
      <c r="AC9" s="40">
        <f>SUMIFS(Data!$I:$I,Data!$G:$G,"Elektriciteitsverbruik - gr*",Data!$P:$P,$V9,Data!$D:$D,AC$3,Data!$E:$E,$W$4)</f>
        <v>0</v>
      </c>
      <c r="AD9" s="272">
        <f t="shared" si="9"/>
        <v>1.2959675580256089</v>
      </c>
    </row>
    <row r="10" spans="2:30" ht="17.399999999999999" thickTop="1" thickBot="1" x14ac:dyDescent="0.35">
      <c r="B10" s="229" t="s">
        <v>104</v>
      </c>
      <c r="C10" s="40">
        <f>SUMIFS(Data!$I:$I,Data!$G:$G,"Aardgasverbruik",Data!$P:$P,$B10,Data!$D:$D,C$3,Data!$E:$E,$C$4)</f>
        <v>55816</v>
      </c>
      <c r="D10" s="40">
        <f>SUMIFS(Data!$I:$I,Data!$G:$G,"Aardgasverbruik",Data!$P:$P,$B10,Data!$D:$D,D$3,Data!$E:$E,$C$4)</f>
        <v>58378</v>
      </c>
      <c r="E10" s="40">
        <f>SUMIFS(Data!$I:$I,Data!$G:$G,"Aardgasverbruik",Data!$P:$P,$B10,Data!$D:$D,E$3,Data!$E:$E,$C$4)</f>
        <v>80318</v>
      </c>
      <c r="F10" s="40">
        <f>SUMIFS(Data!$I:$I,Data!$G:$G,"Aardgasverbruik",Data!$P:$P,$B10,Data!$D:$D,F$3,Data!$E:$E,$C$4)</f>
        <v>21572</v>
      </c>
      <c r="G10" s="40">
        <f>SUMIFS(Data!$I:$I,Data!$G:$G,"Aardgasverbruik",Data!$P:$P,$B10,Data!$D:$D,G$3,Data!$E:$E,$C$4)</f>
        <v>47111</v>
      </c>
      <c r="H10" s="40">
        <f>SUMIFS(Data!$I:$I,Data!$G:$G,"Aardgasverbruik",Data!$P:$P,$B10,Data!$D:$D,H$3,Data!$E:$E,$C$4)</f>
        <v>0</v>
      </c>
      <c r="I10" s="40">
        <f>SUMIFS(Data!$I:$I,Data!$G:$G,"Aardgasverbruik",Data!$P:$P,$B10,Data!$D:$D,I$3,Data!$E:$E,$C$4)</f>
        <v>0</v>
      </c>
      <c r="J10" s="272">
        <f t="shared" si="8"/>
        <v>2.1838957908399776</v>
      </c>
      <c r="V10" s="39" t="s">
        <v>104</v>
      </c>
      <c r="W10" s="40">
        <f>SUMIFS(Data!$I:$I,Data!$G:$G,"Elektriciteitsverbruik - gr*",Data!$P:$P,$V10,Data!$D:$D,W$3,Data!$E:$E,$W$4)</f>
        <v>538560</v>
      </c>
      <c r="X10" s="40">
        <f>SUMIFS(Data!$I:$I,Data!$G:$G,"Elektriciteitsverbruik - gr*",Data!$P:$P,$V10,Data!$D:$D,X$3,Data!$E:$E,$W$4)</f>
        <v>451101</v>
      </c>
      <c r="Y10" s="40">
        <f>SUMIFS(Data!$I:$I,Data!$G:$G,"Elektriciteitsverbruik - gr*",Data!$P:$P,$V10,Data!$D:$D,Y$3,Data!$E:$E,$W$4)</f>
        <v>444195</v>
      </c>
      <c r="Z10" s="40">
        <f>SUMIFS(Data!$I:$I,Data!$G:$G,"Elektriciteitsverbruik - gr*",Data!$P:$P,$V10,Data!$D:$D,Z$3,Data!$E:$E,$W$4)</f>
        <v>423705</v>
      </c>
      <c r="AA10" s="40">
        <f>SUMIFS(Data!$I:$I,Data!$G:$G,"Elektriciteitsverbruik - gr*",Data!$P:$P,$V10,Data!$D:$D,AA$3,Data!$E:$E,$W$4)</f>
        <v>534024</v>
      </c>
      <c r="AB10" s="40">
        <f>SUMIFS(Data!$I:$I,Data!$G:$G,"Elektriciteitsverbruik - gr*",Data!$P:$P,$V10,Data!$D:$D,AB$3,Data!$E:$E,$W$4)</f>
        <v>0</v>
      </c>
      <c r="AC10" s="40">
        <f>SUMIFS(Data!$I:$I,Data!$G:$G,"Elektriciteitsverbruik - gr*",Data!$P:$P,$V10,Data!$D:$D,AC$3,Data!$E:$E,$W$4)</f>
        <v>0</v>
      </c>
      <c r="AD10" s="272">
        <f t="shared" si="9"/>
        <v>1.2603674726519631</v>
      </c>
    </row>
    <row r="11" spans="2:30" ht="17.399999999999999" thickTop="1" thickBot="1" x14ac:dyDescent="0.35">
      <c r="B11" s="229" t="s">
        <v>126</v>
      </c>
      <c r="C11" s="40">
        <f>SUMIFS(Data!$I:$I,Data!$G:$G,"Aardgasverbruik",Data!$P:$P,$B11,Data!$D:$D,C$3,Data!$E:$E,$C$4)</f>
        <v>56656</v>
      </c>
      <c r="D11" s="40">
        <f>SUMIFS(Data!$I:$I,Data!$G:$G,"Aardgasverbruik",Data!$P:$P,$B11,Data!$D:$D,D$3,Data!$E:$E,$C$4)</f>
        <v>64429</v>
      </c>
      <c r="E11" s="40">
        <f>SUMIFS(Data!$I:$I,Data!$G:$G,"Aardgasverbruik",Data!$P:$P,$B11,Data!$D:$D,E$3,Data!$E:$E,$C$4)</f>
        <v>37791</v>
      </c>
      <c r="F11" s="40">
        <f>SUMIFS(Data!$I:$I,Data!$G:$G,"Aardgasverbruik",Data!$P:$P,$B11,Data!$D:$D,F$3,Data!$E:$E,$C$4)</f>
        <v>33248.375</v>
      </c>
      <c r="G11" s="40">
        <f>SUMIFS(Data!$I:$I,Data!$G:$G,"Aardgasverbruik",Data!$P:$P,$B11,Data!$D:$D,G$3,Data!$E:$E,$C$4)</f>
        <v>43316.125</v>
      </c>
      <c r="H11" s="40">
        <f>SUMIFS(Data!$I:$I,Data!$G:$G,"Aardgasverbruik",Data!$P:$P,$B11,Data!$D:$D,H$3,Data!$E:$E,$C$4)</f>
        <v>0</v>
      </c>
      <c r="I11" s="40">
        <f>SUMIFS(Data!$I:$I,Data!$G:$G,"Aardgasverbruik",Data!$P:$P,$B11,Data!$D:$D,I$3,Data!$E:$E,$C$4)</f>
        <v>0</v>
      </c>
      <c r="J11" s="272">
        <f t="shared" si="8"/>
        <v>1.3028042723892521</v>
      </c>
      <c r="V11" s="39" t="s">
        <v>126</v>
      </c>
      <c r="W11" s="40">
        <f>SUMIFS(Data!$I:$I,Data!$G:$G,"Elektriciteitsverbruik - gr*",Data!$P:$P,$V11,Data!$D:$D,W$3,Data!$E:$E,$W$4)</f>
        <v>4631800</v>
      </c>
      <c r="X11" s="40">
        <f>SUMIFS(Data!$I:$I,Data!$G:$G,"Elektriciteitsverbruik - gr*",Data!$P:$P,$V11,Data!$D:$D,X$3,Data!$E:$E,$W$4)</f>
        <v>4742600</v>
      </c>
      <c r="Y11" s="40">
        <f>SUMIFS(Data!$I:$I,Data!$G:$G,"Elektriciteitsverbruik - gr*",Data!$P:$P,$V11,Data!$D:$D,Y$3,Data!$E:$E,$W$4)</f>
        <v>2875000</v>
      </c>
      <c r="Z11" s="40">
        <f>SUMIFS(Data!$I:$I,Data!$G:$G,"Elektriciteitsverbruik - gr*",Data!$P:$P,$V11,Data!$D:$D,Z$3,Data!$E:$E,$W$4)</f>
        <v>2934500</v>
      </c>
      <c r="AA11" s="40">
        <f>SUMIFS(Data!$I:$I,Data!$G:$G,"Elektriciteitsverbruik - gr*",Data!$P:$P,$V11,Data!$D:$D,AA$3,Data!$E:$E,$W$4)</f>
        <v>2808500</v>
      </c>
      <c r="AB11" s="40">
        <f>SUMIFS(Data!$I:$I,Data!$G:$G,"Elektriciteitsverbruik - gr*",Data!$P:$P,$V11,Data!$D:$D,AB$3,Data!$E:$E,$W$4)</f>
        <v>0</v>
      </c>
      <c r="AC11" s="40">
        <f>SUMIFS(Data!$I:$I,Data!$G:$G,"Elektriciteitsverbruik - gr*",Data!$P:$P,$V11,Data!$D:$D,AC$3,Data!$E:$E,$W$4)</f>
        <v>0</v>
      </c>
      <c r="AD11" s="272">
        <f t="shared" si="9"/>
        <v>0.95706253194752089</v>
      </c>
    </row>
    <row r="12" spans="2:30" ht="17.399999999999999" thickTop="1" thickBot="1" x14ac:dyDescent="0.35">
      <c r="B12" s="229" t="s">
        <v>127</v>
      </c>
      <c r="C12" s="40">
        <f>SUMIFS(Data!$I:$I,Data!$G:$G,"Aardgasverbruik",Data!$P:$P,$B12,Data!$D:$D,C$3,Data!$E:$E,$C$4)</f>
        <v>3913.0519999999997</v>
      </c>
      <c r="D12" s="40">
        <f>SUMIFS(Data!$I:$I,Data!$G:$G,"Aardgasverbruik",Data!$P:$P,$B12,Data!$D:$D,D$3,Data!$E:$E,$C$4)</f>
        <v>3813.2379999999998</v>
      </c>
      <c r="E12" s="40">
        <f>SUMIFS(Data!$I:$I,Data!$G:$G,"Aardgasverbruik",Data!$P:$P,$B12,Data!$D:$D,E$3,Data!$E:$E,$C$4)</f>
        <v>3951.0899999999997</v>
      </c>
      <c r="F12" s="40">
        <f>SUMIFS(Data!$I:$I,Data!$G:$G,"Aardgasverbruik",Data!$P:$P,$B12,Data!$D:$D,F$3,Data!$E:$E,$C$4)</f>
        <v>3951.0899999999997</v>
      </c>
      <c r="G12" s="40">
        <f>SUMIFS(Data!$I:$I,Data!$G:$G,"Aardgasverbruik",Data!$P:$P,$B12,Data!$D:$D,G$3,Data!$E:$E,$C$4)</f>
        <v>4369.643531156551</v>
      </c>
      <c r="H12" s="40">
        <f>SUMIFS(Data!$I:$I,Data!$G:$G,"Aardgasverbruik",Data!$P:$P,$B12,Data!$D:$D,H$3,Data!$E:$E,$C$4)</f>
        <v>0</v>
      </c>
      <c r="I12" s="40">
        <f>SUMIFS(Data!$I:$I,Data!$G:$G,"Aardgasverbruik",Data!$P:$P,$B12,Data!$D:$D,I$3,Data!$E:$E,$C$4)</f>
        <v>0</v>
      </c>
      <c r="J12" s="272">
        <f t="shared" si="8"/>
        <v>1.1059336869462735</v>
      </c>
      <c r="V12" s="39" t="s">
        <v>127</v>
      </c>
      <c r="W12" s="40">
        <f>SUMIFS(Data!$I:$I,Data!$G:$G,"Elektriciteitsverbruik - gr*",Data!$P:$P,$V12,Data!$D:$D,W$3,Data!$E:$E,$W$4)</f>
        <v>92629.393999999986</v>
      </c>
      <c r="X12" s="40">
        <f>SUMIFS(Data!$I:$I,Data!$G:$G,"Elektriciteitsverbruik - gr*",Data!$P:$P,$V12,Data!$D:$D,X$3,Data!$E:$E,$W$4)</f>
        <v>84542.743999999992</v>
      </c>
      <c r="Y12" s="40">
        <f>SUMIFS(Data!$I:$I,Data!$G:$G,"Elektriciteitsverbruik - gr*",Data!$P:$P,$V12,Data!$D:$D,Y$3,Data!$E:$E,$W$4)</f>
        <v>72582.795999999988</v>
      </c>
      <c r="Z12" s="40">
        <f>SUMIFS(Data!$I:$I,Data!$G:$G,"Elektriciteitsverbruik - gr*",Data!$P:$P,$V12,Data!$D:$D,Z$3,Data!$E:$E,$W$4)</f>
        <v>55475.295532799995</v>
      </c>
      <c r="AA12" s="40">
        <f>SUMIFS(Data!$I:$I,Data!$G:$G,"Elektriciteitsverbruik - gr*",Data!$P:$P,$V12,Data!$D:$D,AA$3,Data!$E:$E,$W$4)</f>
        <v>74684.916445280542</v>
      </c>
      <c r="AB12" s="40">
        <f>SUMIFS(Data!$I:$I,Data!$G:$G,"Elektriciteitsverbruik - gr*",Data!$P:$P,$V12,Data!$D:$D,AB$3,Data!$E:$E,$W$4)</f>
        <v>0</v>
      </c>
      <c r="AC12" s="40">
        <f>SUMIFS(Data!$I:$I,Data!$G:$G,"Elektriciteitsverbruik - gr*",Data!$P:$P,$V12,Data!$D:$D,AC$3,Data!$E:$E,$W$4)</f>
        <v>0</v>
      </c>
      <c r="AD12" s="272">
        <f t="shared" si="9"/>
        <v>1.3462734308665878</v>
      </c>
    </row>
    <row r="13" spans="2:30" ht="17.399999999999999" thickTop="1" thickBot="1" x14ac:dyDescent="0.35">
      <c r="B13" s="229" t="s">
        <v>53</v>
      </c>
      <c r="C13" s="40">
        <f>SUMIFS(Data!$I:$I,Data!$G:$G,"Aardgasverbruik",Data!$P:$P,$B13,Data!$D:$D,C$3,Data!$E:$E,$C$4)</f>
        <v>13457.973</v>
      </c>
      <c r="D13" s="40">
        <f>SUMIFS(Data!$I:$I,Data!$G:$G,"Aardgasverbruik",Data!$P:$P,$B13,Data!$D:$D,D$3,Data!$E:$E,$C$4)</f>
        <v>15838.368</v>
      </c>
      <c r="E13" s="40">
        <f>SUMIFS(Data!$I:$I,Data!$G:$G,"Aardgasverbruik",Data!$P:$P,$B13,Data!$D:$D,E$3,Data!$E:$E,$C$4)</f>
        <v>17889.87</v>
      </c>
      <c r="F13" s="40">
        <f>SUMIFS(Data!$I:$I,Data!$G:$G,"Aardgasverbruik",Data!$P:$P,$B13,Data!$D:$D,F$3,Data!$E:$E,$C$4)</f>
        <v>14311.008</v>
      </c>
      <c r="G13" s="40">
        <f>SUMIFS(Data!$I:$I,Data!$G:$G,"Aardgasverbruik",Data!$P:$P,$B13,Data!$D:$D,G$3,Data!$E:$E,$C$4)</f>
        <v>14246.517</v>
      </c>
      <c r="H13" s="40">
        <f>SUMIFS(Data!$I:$I,Data!$G:$G,"Aardgasverbruik",Data!$P:$P,$B13,Data!$D:$D,H$3,Data!$E:$E,$C$4)</f>
        <v>0</v>
      </c>
      <c r="I13" s="40">
        <f>SUMIFS(Data!$I:$I,Data!$G:$G,"Aardgasverbruik",Data!$P:$P,$B13,Data!$D:$D,I$3,Data!$E:$E,$C$4)</f>
        <v>0</v>
      </c>
      <c r="J13" s="272">
        <f t="shared" si="8"/>
        <v>0.9954936088359394</v>
      </c>
      <c r="V13" s="39" t="s">
        <v>53</v>
      </c>
      <c r="W13" s="40">
        <f>SUMIFS(Data!$I:$I,Data!$G:$G,"Elektriciteitsverbruik - gr*",Data!$P:$P,$V13,Data!$D:$D,W$3,Data!$E:$E,$W$4)</f>
        <v>134573.29200000002</v>
      </c>
      <c r="X13" s="40">
        <f>SUMIFS(Data!$I:$I,Data!$G:$G,"Elektriciteitsverbruik - gr*",Data!$P:$P,$V13,Data!$D:$D,X$3,Data!$E:$E,$W$4)</f>
        <v>141087.77100000001</v>
      </c>
      <c r="Y13" s="40">
        <f>SUMIFS(Data!$I:$I,Data!$G:$G,"Elektriciteitsverbruik - gr*",Data!$P:$P,$V13,Data!$D:$D,Y$3,Data!$E:$E,$W$4)</f>
        <v>143178.01199999999</v>
      </c>
      <c r="Z13" s="40">
        <f>SUMIFS(Data!$I:$I,Data!$G:$G,"Elektriciteitsverbruik - gr*",Data!$P:$P,$V13,Data!$D:$D,Z$3,Data!$E:$E,$W$4)</f>
        <v>139328.19899999999</v>
      </c>
      <c r="AA13" s="40">
        <f>SUMIFS(Data!$I:$I,Data!$G:$G,"Elektriciteitsverbruik - gr*",Data!$P:$P,$V13,Data!$D:$D,AA$3,Data!$E:$E,$W$4)</f>
        <v>144165.13500000001</v>
      </c>
      <c r="AB13" s="40">
        <f>SUMIFS(Data!$I:$I,Data!$G:$G,"Elektriciteitsverbruik - gr*",Data!$P:$P,$V13,Data!$D:$D,AB$3,Data!$E:$E,$W$4)</f>
        <v>0</v>
      </c>
      <c r="AC13" s="40">
        <f>SUMIFS(Data!$I:$I,Data!$G:$G,"Elektriciteitsverbruik - gr*",Data!$P:$P,$V13,Data!$D:$D,AC$3,Data!$E:$E,$W$4)</f>
        <v>0</v>
      </c>
      <c r="AD13" s="272">
        <f t="shared" si="9"/>
        <v>1.0347161309391504</v>
      </c>
    </row>
    <row r="14" spans="2:30" ht="17.399999999999999" thickTop="1" thickBot="1" x14ac:dyDescent="0.35">
      <c r="B14" s="229" t="s">
        <v>161</v>
      </c>
      <c r="C14" s="40">
        <f>SUMIFS(Data!$I:$I,Data!$G:$G,"Aardgasverbruik",Data!$P:$P,$B14,Data!$D:$D,C$3,Data!$E:$E,$C$4)</f>
        <v>0</v>
      </c>
      <c r="D14" s="40">
        <f>SUMIFS(Data!$I:$I,Data!$G:$G,"Aardgasverbruik",Data!$P:$P,$B14,Data!$D:$D,D$3,Data!$E:$E,$C$4)</f>
        <v>0</v>
      </c>
      <c r="E14" s="40">
        <f>SUMIFS(Data!$I:$I,Data!$G:$G,"Aardgasverbruik",Data!$P:$P,$B14,Data!$D:$D,E$3,Data!$E:$E,$C$4)</f>
        <v>0</v>
      </c>
      <c r="F14" s="40">
        <f>SUMIFS(Data!$I:$I,Data!$G:$G,"Aardgasverbruik",Data!$P:$P,$B14,Data!$D:$D,F$3,Data!$E:$E,$C$4)</f>
        <v>7.44</v>
      </c>
      <c r="G14" s="40">
        <f>SUMIFS(Data!$I:$I,Data!$G:$G,"Aardgasverbruik",Data!$P:$P,$B14,Data!$D:$D,G$3,Data!$E:$E,$C$4)</f>
        <v>9.0299999999999994</v>
      </c>
      <c r="H14" s="40">
        <f>SUMIFS(Data!$I:$I,Data!$G:$G,"Aardgasverbruik",Data!$P:$P,$B14,Data!$D:$D,H$3,Data!$E:$E,$C$4)</f>
        <v>0</v>
      </c>
      <c r="I14" s="40">
        <f>SUMIFS(Data!$I:$I,Data!$G:$G,"Aardgasverbruik",Data!$P:$P,$B14,Data!$D:$D,I$3,Data!$E:$E,$C$4)</f>
        <v>0</v>
      </c>
      <c r="J14" s="272">
        <f t="shared" si="8"/>
        <v>1.2137096774193548</v>
      </c>
      <c r="V14" s="39" t="s">
        <v>161</v>
      </c>
      <c r="W14" s="40">
        <f>SUMIFS(Data!$I:$I,Data!$G:$G,"Elektriciteitsverbruik - gr*",Data!$P:$P,$V14,Data!$D:$D,W$3,Data!$E:$E,$W$4)</f>
        <v>0</v>
      </c>
      <c r="X14" s="40">
        <f>SUMIFS(Data!$I:$I,Data!$G:$G,"Elektriciteitsverbruik - gr*",Data!$P:$P,$V14,Data!$D:$D,X$3,Data!$E:$E,$W$4)</f>
        <v>0</v>
      </c>
      <c r="Y14" s="40">
        <f>SUMIFS(Data!$I:$I,Data!$G:$G,"Elektriciteitsverbruik - gr*",Data!$P:$P,$V14,Data!$D:$D,Y$3,Data!$E:$E,$W$4)</f>
        <v>0</v>
      </c>
      <c r="Z14" s="40">
        <f>SUMIFS(Data!$I:$I,Data!$G:$G,"Elektriciteitsverbruik - gr*",Data!$P:$P,$V14,Data!$D:$D,Z$3,Data!$E:$E,$W$4)</f>
        <v>38297.734119187953</v>
      </c>
      <c r="AA14" s="40">
        <f>SUMIFS(Data!$I:$I,Data!$G:$G,"Elektriciteitsverbruik - gr*",Data!$P:$P,$V14,Data!$D:$D,AA$3,Data!$E:$E,$W$4)</f>
        <v>2539.107</v>
      </c>
      <c r="AB14" s="40">
        <f>SUMIFS(Data!$I:$I,Data!$G:$G,"Elektriciteitsverbruik - gr*",Data!$P:$P,$V14,Data!$D:$D,AB$3,Data!$E:$E,$W$4)</f>
        <v>0</v>
      </c>
      <c r="AC14" s="40">
        <f>SUMIFS(Data!$I:$I,Data!$G:$G,"Elektriciteitsverbruik - gr*",Data!$P:$P,$V14,Data!$D:$D,AC$3,Data!$E:$E,$W$4)</f>
        <v>0</v>
      </c>
      <c r="AD14" s="272">
        <f t="shared" si="9"/>
        <v>6.6299144280910743E-2</v>
      </c>
    </row>
    <row r="15" spans="2:30" ht="17.399999999999999" thickTop="1" thickBot="1" x14ac:dyDescent="0.35">
      <c r="B15" s="37" t="s">
        <v>195</v>
      </c>
      <c r="C15" s="191">
        <f t="shared" ref="C15:I15" si="10">SUM(C5:C14)</f>
        <v>924373.02500000002</v>
      </c>
      <c r="D15" s="191">
        <f t="shared" si="10"/>
        <v>1585096.6059999999</v>
      </c>
      <c r="E15" s="191">
        <f t="shared" si="10"/>
        <v>2099691.96</v>
      </c>
      <c r="F15" s="191">
        <f t="shared" si="10"/>
        <v>1629502.9129999999</v>
      </c>
      <c r="G15" s="191">
        <f t="shared" si="10"/>
        <v>1069605.3155311565</v>
      </c>
      <c r="H15" s="191">
        <f t="shared" si="10"/>
        <v>0</v>
      </c>
      <c r="I15" s="191">
        <f t="shared" si="10"/>
        <v>0</v>
      </c>
      <c r="V15" s="37" t="s">
        <v>195</v>
      </c>
      <c r="W15" s="191">
        <f t="shared" ref="W15:AC15" si="11">SUM(W5:W14)</f>
        <v>56239108.686000004</v>
      </c>
      <c r="X15" s="191">
        <f t="shared" si="11"/>
        <v>68814429.515000001</v>
      </c>
      <c r="Y15" s="191">
        <f t="shared" si="11"/>
        <v>72264263.807999998</v>
      </c>
      <c r="Z15" s="191">
        <f t="shared" si="11"/>
        <v>74283597.228651986</v>
      </c>
      <c r="AA15" s="191">
        <f t="shared" si="11"/>
        <v>79830189.158445284</v>
      </c>
      <c r="AB15" s="191"/>
      <c r="AC15" s="191">
        <f t="shared" si="11"/>
        <v>0</v>
      </c>
    </row>
    <row r="16" spans="2:30" ht="16.8" thickTop="1" x14ac:dyDescent="0.3">
      <c r="G16" s="142">
        <f>G15/C15</f>
        <v>1.1571143754775368</v>
      </c>
      <c r="AA16" s="296"/>
    </row>
    <row r="18" spans="2:29" ht="16.8" thickBot="1" x14ac:dyDescent="0.35"/>
    <row r="19" spans="2:29" ht="17.399999999999999" thickTop="1" thickBot="1" x14ac:dyDescent="0.35">
      <c r="B19" s="351" t="s">
        <v>196</v>
      </c>
      <c r="C19" s="352"/>
      <c r="D19" s="352"/>
      <c r="E19" s="352"/>
      <c r="F19" s="352"/>
      <c r="G19" s="352"/>
      <c r="H19" s="352"/>
      <c r="I19" s="352"/>
      <c r="V19" s="351" t="s">
        <v>197</v>
      </c>
      <c r="W19" s="352"/>
      <c r="X19" s="352"/>
      <c r="Y19" s="352"/>
      <c r="Z19" s="352"/>
      <c r="AA19" s="352"/>
      <c r="AB19" s="352"/>
      <c r="AC19" s="352"/>
    </row>
    <row r="20" spans="2:29" ht="17.399999999999999" thickTop="1" thickBot="1" x14ac:dyDescent="0.35">
      <c r="B20" s="46"/>
      <c r="C20" s="44">
        <f>'Input keuzevariabelen'!$D$4</f>
        <v>2019</v>
      </c>
      <c r="D20" s="46">
        <f>C20+1</f>
        <v>2020</v>
      </c>
      <c r="E20" s="44">
        <f>D20+1</f>
        <v>2021</v>
      </c>
      <c r="F20" s="46">
        <f t="shared" ref="F20" si="12">E20+1</f>
        <v>2022</v>
      </c>
      <c r="G20" s="44">
        <f t="shared" ref="G20" si="13">F20+1</f>
        <v>2023</v>
      </c>
      <c r="H20" s="46">
        <f t="shared" ref="H20" si="14">G20+1</f>
        <v>2024</v>
      </c>
      <c r="I20" s="44">
        <f t="shared" ref="I20" si="15">H20+1</f>
        <v>2025</v>
      </c>
      <c r="V20" s="46"/>
      <c r="W20" s="44">
        <f>'Input keuzevariabelen'!$D$4</f>
        <v>2019</v>
      </c>
      <c r="X20" s="46">
        <f>W20+1</f>
        <v>2020</v>
      </c>
      <c r="Y20" s="44">
        <f>X20+1</f>
        <v>2021</v>
      </c>
      <c r="Z20" s="46">
        <f t="shared" ref="Z20" si="16">Y20+1</f>
        <v>2022</v>
      </c>
      <c r="AA20" s="44">
        <f t="shared" ref="AA20" si="17">Z20+1</f>
        <v>2023</v>
      </c>
      <c r="AB20" s="46">
        <f t="shared" ref="AB20" si="18">AA20+1</f>
        <v>2024</v>
      </c>
      <c r="AC20" s="44">
        <f t="shared" ref="AC20" si="19">AB20+1</f>
        <v>2025</v>
      </c>
    </row>
    <row r="21" spans="2:29" ht="17.399999999999999" thickTop="1" thickBot="1" x14ac:dyDescent="0.35">
      <c r="B21" s="46"/>
      <c r="C21" s="370" t="s">
        <v>10</v>
      </c>
      <c r="D21" s="371"/>
      <c r="E21" s="371"/>
      <c r="F21" s="371"/>
      <c r="G21" s="371"/>
      <c r="H21" s="371"/>
      <c r="I21" s="372"/>
      <c r="V21" s="46"/>
      <c r="W21" s="370" t="s">
        <v>10</v>
      </c>
      <c r="X21" s="371"/>
      <c r="Y21" s="371"/>
      <c r="Z21" s="371"/>
      <c r="AA21" s="371"/>
      <c r="AB21" s="371"/>
      <c r="AC21" s="372"/>
    </row>
    <row r="22" spans="2:29" ht="17.399999999999999" thickTop="1" thickBot="1" x14ac:dyDescent="0.35">
      <c r="B22" s="39" t="s">
        <v>198</v>
      </c>
      <c r="C22" s="40">
        <f>SUMIFS(Data!$I:$I,Data!$G:$G,"*benzine*",Data!$D:$D,C$20,Data!$E:$E,$C$21)</f>
        <v>28453.702000000001</v>
      </c>
      <c r="D22" s="40">
        <f>SUMIFS(Data!$I:$I,Data!$G:$G,"*benzine*",Data!$D:$D,D$20,Data!$E:$E,$C$21)</f>
        <v>2629.998</v>
      </c>
      <c r="E22" s="40">
        <f>SUMIFS(Data!$I:$I,Data!$G:$G,"*benzine*",Data!$D:$D,E$20,Data!$E:$E,$C$21)</f>
        <v>29302.953000000001</v>
      </c>
      <c r="F22" s="40">
        <f>SUMIFS(Data!$I:$I,Data!$G:$G,"*benzine*",Data!$D:$D,F$20,Data!$E:$E,$C$21)</f>
        <v>31359.660478764479</v>
      </c>
      <c r="G22" s="40">
        <f>SUMIFS(Data!$I:$I,Data!$G:$G,"*benzine*",Data!$D:$D,G$20,Data!$E:$E,$C$21)</f>
        <v>36930.339</v>
      </c>
      <c r="H22" s="40">
        <f>SUMIFS(Data!$I:$I,Data!$G:$G,"*benzine*",Data!$D:$D,H$20,Data!$E:$E,$C$21)</f>
        <v>0</v>
      </c>
      <c r="I22" s="40">
        <f>SUMIFS(Data!$I:$I,Data!$G:$G,"*benzine*",Data!$D:$D,I$20,Data!$E:$E,$C$21)</f>
        <v>0</v>
      </c>
      <c r="V22" s="39" t="s">
        <v>199</v>
      </c>
      <c r="W22" s="40">
        <f>SUMIFS(Data!$I:$I,Data!$G:$G,"*Gedeclareerde*",Data!$D:$D,W$20,Data!$E:$E,$W$21)</f>
        <v>2148862.905263158</v>
      </c>
      <c r="X22" s="40">
        <f>SUMIFS(Data!$I:$I,Data!$G:$G,"*Gedeclareerde*",Data!$D:$D,X$20,Data!$E:$E,$W$21)</f>
        <v>1107371.6105263159</v>
      </c>
      <c r="Y22" s="40">
        <f>SUMIFS(Data!$I:$I,Data!$G:$G,"*Gedeclareerde*",Data!$D:$D,Y$20,Data!$E:$E,$W$21)</f>
        <v>189455.17894736843</v>
      </c>
      <c r="Z22" s="40">
        <f>SUMIFS(Data!$I:$I,Data!$G:$G,"*Gedeclareerde*",Data!$D:$D,Z$20,Data!$E:$E,$W$21)</f>
        <v>289691.7212631579</v>
      </c>
      <c r="AA22" s="40">
        <f>SUMIFS(Data!$I:$I,Data!$G:$G,"*Gedeclareerde*",Data!$D:$D,AA$20,Data!$E:$E,$W$21)</f>
        <v>350421.26642857143</v>
      </c>
      <c r="AB22" s="40">
        <f>SUMIFS(Data!$I:$I,Data!$G:$G,"*Gedeclareerde*",Data!$D:$D,AB$20,Data!$E:$E,$W$21)</f>
        <v>0</v>
      </c>
      <c r="AC22" s="40">
        <f>SUMIFS(Data!$I:$I,Data!$G:$G,"*Gedeclareerde*",Data!$D:$D,AC$20,Data!$E:$E,$W$21)</f>
        <v>0</v>
      </c>
    </row>
    <row r="23" spans="2:29" ht="17.399999999999999" thickTop="1" thickBot="1" x14ac:dyDescent="0.35">
      <c r="B23" s="39" t="s">
        <v>200</v>
      </c>
      <c r="C23" s="40">
        <f>SUMIFS(Data!$I:$I,Data!$G:$G,"*diesel*",Data!$D:$D,C$20,Data!$E:$E,$C$21)</f>
        <v>43738.561999999998</v>
      </c>
      <c r="D23" s="40">
        <f>SUMIFS(Data!$I:$I,Data!$G:$G,"*diesel*",Data!$D:$D,D$20,Data!$E:$E,$C$21)</f>
        <v>42090.157999999996</v>
      </c>
      <c r="E23" s="40">
        <f>SUMIFS(Data!$I:$I,Data!$G:$G,"*diesel*",Data!$D:$D,E$20,Data!$E:$E,$C$21)</f>
        <v>40841.764000000003</v>
      </c>
      <c r="F23" s="40">
        <f>SUMIFS(Data!$I:$I,Data!$G:$G,"*diesel*",Data!$D:$D,F$20,Data!$E:$E,$C$21)</f>
        <v>44703.752484662575</v>
      </c>
      <c r="G23" s="40">
        <f>SUMIFS(Data!$I:$I,Data!$G:$G,"*diesel*",Data!$D:$D,G$20,Data!$E:$E,$C$21)</f>
        <v>41059.025000000001</v>
      </c>
      <c r="H23" s="40">
        <f>SUMIFS(Data!$I:$I,Data!$G:$G,"*diesel*",Data!$D:$D,H$20,Data!$E:$E,$C$21)</f>
        <v>0</v>
      </c>
      <c r="I23" s="40">
        <f>SUMIFS(Data!$I:$I,Data!$G:$G,"*diesel*",Data!$D:$D,I$20,Data!$E:$E,$C$21)</f>
        <v>0</v>
      </c>
      <c r="V23" s="39" t="s">
        <v>201</v>
      </c>
      <c r="W23" s="40">
        <f>SUMIFS(Data!$I:$I,Data!$G:$G,"*Openbaar*",Data!$D:$D,W$20,Data!$E:$E,$W$21)</f>
        <v>508.38</v>
      </c>
      <c r="X23" s="40">
        <f>SUMIFS(Data!$I:$I,Data!$G:$G,"*Openbaar*",Data!$D:$D,X$20,Data!$E:$E,$W$21)</f>
        <v>384.8</v>
      </c>
      <c r="Y23" s="40">
        <f>SUMIFS(Data!$I:$I,Data!$G:$G,"*Openbaar*",Data!$D:$D,Y$20,Data!$E:$E,$W$21)</f>
        <v>134946.66</v>
      </c>
      <c r="Z23" s="40">
        <f>SUMIFS(Data!$I:$I,Data!$G:$G,"*Openbaar*",Data!$D:$D,Z$20,Data!$E:$E,$W$21)</f>
        <v>349494.0153846154</v>
      </c>
      <c r="AA23" s="40">
        <f>SUMIFS(Data!$I:$I,Data!$G:$G,"*Openbaar*",Data!$D:$D,AA$20,Data!$E:$E,$W$21)</f>
        <v>522643.13633540372</v>
      </c>
      <c r="AB23" s="40">
        <f>SUMIFS(Data!$I:$I,Data!$G:$G,"*Openbaar*",Data!$D:$D,AB$20,Data!$E:$E,$W$21)</f>
        <v>0</v>
      </c>
      <c r="AC23" s="40">
        <f>SUMIFS(Data!$I:$I,Data!$G:$G,"*Openbaar*",Data!$D:$D,AC$20,Data!$E:$E,$W$21)</f>
        <v>0</v>
      </c>
    </row>
    <row r="24" spans="2:29" ht="17.399999999999999" thickTop="1" thickBot="1" x14ac:dyDescent="0.35">
      <c r="B24" s="39" t="s">
        <v>202</v>
      </c>
      <c r="C24" s="40">
        <f>SUMIFS(Data!$I:$I,Data!$G:$G,"*wagens*",Data!$D:$D,C$20,Data!$E:$E,$C$21)</f>
        <v>155.98699999999999</v>
      </c>
      <c r="D24" s="40">
        <f>SUMIFS(Data!$I:$I,Data!$G:$G,"*wagens*",Data!$D:$D,D$20,Data!$E:$E,$C$21)</f>
        <v>603.55700000000002</v>
      </c>
      <c r="E24" s="40">
        <f>SUMIFS(Data!$I:$I,Data!$G:$G,"*wagens*",Data!$D:$D,E$20,Data!$E:$E,$C$21)</f>
        <v>809.30100000000004</v>
      </c>
      <c r="F24" s="40">
        <f>SUMIFS(Data!$I:$I,Data!$G:$G,"*wagens*",Data!$D:$D,F$20,Data!$E:$E,$C$21)</f>
        <v>2460.567</v>
      </c>
      <c r="G24" s="40">
        <f>SUMIFS(Data!$I:$I,Data!$G:$G,"*wagens*",Data!$D:$D,G$20,Data!$E:$E,$C$21)</f>
        <v>8999.3870000000006</v>
      </c>
      <c r="H24" s="40">
        <f>SUMIFS(Data!$I:$I,Data!$G:$G,"*wagens*",Data!$D:$D,H$20,Data!$E:$E,$C$21)</f>
        <v>0</v>
      </c>
      <c r="I24" s="40">
        <f>SUMIFS(Data!$I:$I,Data!$G:$G,"*wagens*",Data!$D:$D,I$20,Data!$E:$E,$C$21)</f>
        <v>0</v>
      </c>
      <c r="V24" s="39" t="s">
        <v>203</v>
      </c>
      <c r="W24" s="40">
        <f>SUMIFS(Data!$I:$I,Data!$G:$G,"*trein*",Data!$D:$D,W$20,Data!$E:$E,$W$21)</f>
        <v>1635100</v>
      </c>
      <c r="X24" s="40">
        <f>SUMIFS(Data!$I:$I,Data!$G:$G,"*trein*",Data!$D:$D,X$20,Data!$E:$E,$W$21)</f>
        <v>0</v>
      </c>
      <c r="Y24" s="40">
        <f>SUMIFS(Data!$I:$I,Data!$G:$G,"*trein*",Data!$D:$D,Y$20,Data!$E:$E,$W$21)</f>
        <v>0</v>
      </c>
      <c r="Z24" s="40">
        <f>SUMIFS(Data!$I:$I,Data!$G:$G,"*trein*",Data!$D:$D,Z$20,Data!$E:$E,$W$21)</f>
        <v>0</v>
      </c>
      <c r="AA24" s="40">
        <f>SUMIFS(Data!$I:$I,Data!$G:$G,"*trein*",Data!$D:$D,AA$20,Data!$E:$E,$W$21)</f>
        <v>0</v>
      </c>
      <c r="AB24" s="40">
        <f>SUMIFS(Data!$I:$I,Data!$G:$G,"*trein*",Data!$D:$D,AB$20,Data!$E:$E,$W$21)</f>
        <v>0</v>
      </c>
      <c r="AC24" s="40">
        <f>SUMIFS(Data!$I:$I,Data!$G:$G,"*trein*",Data!$D:$D,AC$20,Data!$E:$E,$W$21)</f>
        <v>0</v>
      </c>
    </row>
    <row r="25" spans="2:29" ht="17.399999999999999" thickTop="1" thickBot="1" x14ac:dyDescent="0.35">
      <c r="B25" s="37" t="s">
        <v>195</v>
      </c>
      <c r="C25" s="191">
        <f>SUM(C22:C24)</f>
        <v>72348.250999999989</v>
      </c>
      <c r="D25" s="191">
        <f>SUM(D22:D24)</f>
        <v>45323.712999999996</v>
      </c>
      <c r="E25" s="191">
        <f>SUM(E22:E24)</f>
        <v>70954.018000000011</v>
      </c>
      <c r="F25" s="191">
        <f t="shared" ref="F25:I25" si="20">SUM(F22:F24)</f>
        <v>78523.979963427046</v>
      </c>
      <c r="G25" s="191">
        <f t="shared" si="20"/>
        <v>86988.751000000004</v>
      </c>
      <c r="H25" s="191">
        <f t="shared" si="20"/>
        <v>0</v>
      </c>
      <c r="I25" s="191">
        <f t="shared" si="20"/>
        <v>0</v>
      </c>
      <c r="V25" s="39" t="s">
        <v>34</v>
      </c>
      <c r="W25" s="40">
        <f>SUMIFS(Data!$I:$I,Data!$G:$G,"*&lt;700*",Data!$D:$D,W$20,Data!$E:$E,$W$21)</f>
        <v>7774</v>
      </c>
      <c r="X25" s="40">
        <f>SUMIFS(Data!$I:$I,Data!$G:$G,"*&lt;700*",Data!$D:$D,X$20,Data!$E:$E,$W$21)</f>
        <v>1960</v>
      </c>
      <c r="Y25" s="40">
        <f>SUMIFS(Data!$I:$I,Data!$G:$G,"*&lt;700*",Data!$D:$D,Y$20,Data!$E:$E,$W$21)</f>
        <v>0</v>
      </c>
      <c r="Z25" s="40">
        <f>SUMIFS(Data!$I:$I,Data!$G:$G,"*&lt;700*",Data!$D:$D,Z$20,Data!$E:$E,$W$21)</f>
        <v>249.024</v>
      </c>
      <c r="AA25" s="40">
        <f>SUMIFS(Data!$I:$I,Data!$G:$G,"*&lt;700*",Data!$D:$D,AA$20,Data!$E:$E,$W$21)</f>
        <v>787.08399999999995</v>
      </c>
      <c r="AB25" s="40">
        <f>SUMIFS(Data!$I:$I,Data!$G:$G,"*&lt;700*",Data!$D:$D,AB$20,Data!$E:$E,$W$21)</f>
        <v>0</v>
      </c>
      <c r="AC25" s="40">
        <f>SUMIFS(Data!$I:$I,Data!$G:$G,"*&lt;700*",Data!$D:$D,AC$20,Data!$E:$E,$W$21)</f>
        <v>0</v>
      </c>
    </row>
    <row r="26" spans="2:29" ht="17.399999999999999" thickTop="1" thickBot="1" x14ac:dyDescent="0.35">
      <c r="V26" s="39" t="s">
        <v>204</v>
      </c>
      <c r="W26" s="40">
        <f>SUMIFS(Data!$I:$I,Data!$G:$G,"*700-2500*",Data!$D:$D,W$20,Data!$E:$E,$W$21)</f>
        <v>5786</v>
      </c>
      <c r="X26" s="40">
        <f>SUMIFS(Data!$I:$I,Data!$G:$G,"*700-2500*",Data!$D:$D,X$20,Data!$E:$E,$W$21)</f>
        <v>206567</v>
      </c>
      <c r="Y26" s="40">
        <f>SUMIFS(Data!$I:$I,Data!$G:$G,"*700-2500*",Data!$D:$D,Y$20,Data!$E:$E,$W$21)</f>
        <v>5006</v>
      </c>
      <c r="Z26" s="40">
        <f>SUMIFS(Data!$I:$I,Data!$G:$G,"*700-2500*",Data!$D:$D,Z$20,Data!$E:$E,$W$21)</f>
        <v>209.42400000000001</v>
      </c>
      <c r="AA26" s="40">
        <f>SUMIFS(Data!$I:$I,Data!$G:$G,"*700-2500*",Data!$D:$D,AA$20,Data!$E:$E,$W$21)</f>
        <v>5909.6090000000004</v>
      </c>
      <c r="AB26" s="40">
        <f>SUMIFS(Data!$I:$I,Data!$G:$G,"*700-2500*",Data!$D:$D,AB$20,Data!$E:$E,$W$21)</f>
        <v>0</v>
      </c>
      <c r="AC26" s="40">
        <f>SUMIFS(Data!$I:$I,Data!$G:$G,"*700-2500*",Data!$D:$D,AC$20,Data!$E:$E,$W$21)</f>
        <v>0</v>
      </c>
    </row>
    <row r="27" spans="2:29" ht="17.399999999999999" thickTop="1" thickBot="1" x14ac:dyDescent="0.35">
      <c r="V27" s="39" t="s">
        <v>205</v>
      </c>
      <c r="W27" s="40">
        <f>SUMIFS(Data!$I:$I,Data!$G:$G,"*&gt;2500*",Data!$D:$D,W$20,Data!$E:$E,$W$21)</f>
        <v>176578</v>
      </c>
      <c r="X27" s="40">
        <f>SUMIFS(Data!$I:$I,Data!$G:$G,"*&gt;2500*",Data!$D:$D,X$20,Data!$E:$E,$W$21)</f>
        <v>58826</v>
      </c>
      <c r="Y27" s="40">
        <f>SUMIFS(Data!$I:$I,Data!$G:$G,"*&gt;2500*",Data!$D:$D,Y$20,Data!$E:$E,$W$21)</f>
        <v>0</v>
      </c>
      <c r="Z27" s="40">
        <f>SUMIFS(Data!$I:$I,Data!$G:$G,"*&gt;2500*",Data!$D:$D,Z$20,Data!$E:$E,$W$21)</f>
        <v>303020</v>
      </c>
      <c r="AA27" s="40">
        <f>SUMIFS(Data!$I:$I,Data!$G:$G,"*&gt;2500*",Data!$D:$D,AA$20,Data!$E:$E,$W$21)</f>
        <v>258246</v>
      </c>
      <c r="AB27" s="40">
        <f>SUMIFS(Data!$I:$I,Data!$G:$G,"*&gt;2500*",Data!$D:$D,AB$20,Data!$E:$E,$W$21)</f>
        <v>0</v>
      </c>
      <c r="AC27" s="40">
        <f>SUMIFS(Data!$I:$I,Data!$G:$G,"*&gt;2500*",Data!$D:$D,AC$20,Data!$E:$E,$W$21)</f>
        <v>0</v>
      </c>
    </row>
    <row r="28" spans="2:29" ht="17.399999999999999" thickTop="1" thickBot="1" x14ac:dyDescent="0.35">
      <c r="V28" s="37" t="s">
        <v>195</v>
      </c>
      <c r="W28" s="191">
        <f t="shared" ref="W28:AC28" si="21">SUM(W25:W27)</f>
        <v>190138</v>
      </c>
      <c r="X28" s="191">
        <f t="shared" si="21"/>
        <v>267353</v>
      </c>
      <c r="Y28" s="191">
        <f t="shared" si="21"/>
        <v>5006</v>
      </c>
      <c r="Z28" s="191">
        <f t="shared" si="21"/>
        <v>303478.44799999997</v>
      </c>
      <c r="AA28" s="191">
        <f t="shared" si="21"/>
        <v>264942.69300000003</v>
      </c>
      <c r="AB28" s="191">
        <f t="shared" si="21"/>
        <v>0</v>
      </c>
      <c r="AC28" s="191">
        <f t="shared" si="21"/>
        <v>0</v>
      </c>
    </row>
  </sheetData>
  <mergeCells count="8">
    <mergeCell ref="C4:I4"/>
    <mergeCell ref="W4:AC4"/>
    <mergeCell ref="C21:I21"/>
    <mergeCell ref="W21:AC21"/>
    <mergeCell ref="B2:I2"/>
    <mergeCell ref="V2:AC2"/>
    <mergeCell ref="B19:I19"/>
    <mergeCell ref="V19:AC1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136"/>
  <sheetViews>
    <sheetView showGridLines="0" zoomScale="70" zoomScaleNormal="70" workbookViewId="0">
      <selection activeCell="E22" sqref="E22"/>
    </sheetView>
  </sheetViews>
  <sheetFormatPr defaultColWidth="12.5" defaultRowHeight="15" customHeight="1" x14ac:dyDescent="0.3"/>
  <cols>
    <col min="1" max="1" width="3.69921875" style="2" customWidth="1"/>
    <col min="2" max="2" width="34.5" style="2" customWidth="1"/>
    <col min="3" max="3" width="34.5" style="192" customWidth="1"/>
    <col min="4" max="4" width="19" style="2" customWidth="1"/>
    <col min="5" max="5" width="21.5" style="2" bestFit="1" customWidth="1"/>
    <col min="6" max="6" width="45" style="2" customWidth="1"/>
    <col min="7" max="7" width="7.8984375" style="2" customWidth="1"/>
    <col min="8" max="8" width="11.3984375" style="2" bestFit="1" customWidth="1"/>
    <col min="9" max="9" width="20" style="2" bestFit="1" customWidth="1"/>
    <col min="10" max="10" width="14.3984375" style="2" customWidth="1"/>
    <col min="11" max="12" width="7.5" style="2" customWidth="1"/>
    <col min="13" max="13" width="40.59765625" style="2" customWidth="1"/>
    <col min="14" max="14" width="9" style="2" customWidth="1"/>
    <col min="15" max="15" width="11" style="2" customWidth="1"/>
    <col min="16" max="16" width="24.8984375" style="2" customWidth="1"/>
    <col min="17" max="26" width="7.5" style="2" customWidth="1"/>
    <col min="27" max="16384" width="12.5" style="2"/>
  </cols>
  <sheetData>
    <row r="1" spans="2:16" ht="14.25" customHeight="1" x14ac:dyDescent="0.3">
      <c r="B1" s="1"/>
      <c r="C1" s="2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18" customHeight="1" thickBot="1" x14ac:dyDescent="0.35">
      <c r="B2" s="373" t="s">
        <v>206</v>
      </c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</row>
    <row r="3" spans="2:16" ht="21.9" customHeight="1" thickTop="1" thickBot="1" x14ac:dyDescent="0.35">
      <c r="B3" s="105" t="s">
        <v>207</v>
      </c>
      <c r="C3" s="196" t="s">
        <v>84</v>
      </c>
      <c r="D3" s="106" t="s">
        <v>208</v>
      </c>
      <c r="E3" s="106" t="s">
        <v>86</v>
      </c>
      <c r="F3" s="106" t="s">
        <v>88</v>
      </c>
      <c r="G3" s="107" t="s">
        <v>209</v>
      </c>
      <c r="H3" s="106" t="s">
        <v>15</v>
      </c>
      <c r="I3" s="106" t="s">
        <v>210</v>
      </c>
      <c r="J3" s="106" t="s">
        <v>15</v>
      </c>
      <c r="K3" s="141" t="s">
        <v>85</v>
      </c>
      <c r="L3" s="188"/>
      <c r="M3" s="106" t="s">
        <v>211</v>
      </c>
      <c r="N3" s="107" t="s">
        <v>209</v>
      </c>
      <c r="O3" s="106" t="s">
        <v>15</v>
      </c>
      <c r="P3" s="106" t="s">
        <v>212</v>
      </c>
    </row>
    <row r="4" spans="2:16" ht="18.899999999999999" customHeight="1" thickTop="1" thickBot="1" x14ac:dyDescent="0.35">
      <c r="B4" s="98" t="s">
        <v>8</v>
      </c>
      <c r="C4" s="193">
        <v>1</v>
      </c>
      <c r="D4" s="86">
        <v>2019</v>
      </c>
      <c r="E4" s="86" t="s">
        <v>56</v>
      </c>
      <c r="F4" s="86" t="s">
        <v>99</v>
      </c>
      <c r="G4" s="86" t="s">
        <v>213</v>
      </c>
      <c r="H4" s="143"/>
      <c r="I4" s="143"/>
      <c r="J4" s="143"/>
      <c r="K4" s="143"/>
      <c r="L4" s="189"/>
      <c r="M4" s="1" t="s">
        <v>214</v>
      </c>
      <c r="N4" s="1"/>
      <c r="O4" s="1"/>
      <c r="P4" s="1"/>
    </row>
    <row r="5" spans="2:16" ht="14.25" customHeight="1" thickBot="1" x14ac:dyDescent="0.35">
      <c r="B5" s="98" t="s">
        <v>53</v>
      </c>
      <c r="C5" s="195">
        <v>0.111</v>
      </c>
      <c r="D5" s="82">
        <f>D4+1</f>
        <v>2020</v>
      </c>
      <c r="E5" s="82" t="s">
        <v>10</v>
      </c>
      <c r="F5" s="190"/>
      <c r="G5" s="190"/>
      <c r="H5" s="1"/>
      <c r="I5" s="1"/>
      <c r="J5" s="1"/>
      <c r="K5" s="1"/>
      <c r="L5" s="7"/>
      <c r="M5" s="1"/>
      <c r="N5" s="1"/>
      <c r="O5" s="1"/>
      <c r="P5" s="1"/>
    </row>
    <row r="6" spans="2:16" ht="14.25" customHeight="1" thickTop="1" thickBot="1" x14ac:dyDescent="0.35">
      <c r="B6" s="95" t="s">
        <v>124</v>
      </c>
      <c r="C6" s="194">
        <v>0.2</v>
      </c>
      <c r="D6" s="82">
        <f t="shared" ref="D6:D14" si="0">D5+1</f>
        <v>2021</v>
      </c>
      <c r="E6" s="89"/>
      <c r="F6" s="86" t="s">
        <v>18</v>
      </c>
      <c r="G6" s="139">
        <v>1</v>
      </c>
      <c r="H6" s="139" t="s">
        <v>41</v>
      </c>
      <c r="I6" s="139">
        <v>1890</v>
      </c>
      <c r="J6" s="140" t="s">
        <v>215</v>
      </c>
      <c r="K6" s="117">
        <v>2019</v>
      </c>
      <c r="L6" s="1"/>
      <c r="M6" s="1"/>
      <c r="N6" s="1"/>
      <c r="O6" s="1"/>
      <c r="P6" s="1"/>
    </row>
    <row r="7" spans="2:16" ht="14.25" customHeight="1" thickBot="1" x14ac:dyDescent="0.35">
      <c r="B7" s="95" t="s">
        <v>127</v>
      </c>
      <c r="C7" s="194">
        <v>0.28599999999999998</v>
      </c>
      <c r="D7" s="82">
        <f t="shared" si="0"/>
        <v>2022</v>
      </c>
      <c r="E7" s="89"/>
      <c r="F7" s="205" t="s">
        <v>42</v>
      </c>
      <c r="G7" s="206" t="s">
        <v>216</v>
      </c>
      <c r="H7" s="205" t="s">
        <v>41</v>
      </c>
      <c r="I7" s="205">
        <v>1962</v>
      </c>
      <c r="J7" s="140" t="s">
        <v>215</v>
      </c>
      <c r="K7" s="117">
        <v>2019</v>
      </c>
      <c r="L7" s="1"/>
      <c r="M7" s="1"/>
      <c r="N7" s="1"/>
      <c r="O7" s="1"/>
      <c r="P7" s="1"/>
    </row>
    <row r="8" spans="2:16" ht="14.25" customHeight="1" thickTop="1" thickBot="1" x14ac:dyDescent="0.35">
      <c r="B8" s="98" t="s">
        <v>159</v>
      </c>
      <c r="C8" s="195">
        <v>4.8000000000000001E-2</v>
      </c>
      <c r="D8" s="82">
        <f t="shared" si="0"/>
        <v>2023</v>
      </c>
      <c r="E8" s="89"/>
      <c r="F8" s="205" t="s">
        <v>40</v>
      </c>
      <c r="G8" s="206" t="s">
        <v>216</v>
      </c>
      <c r="H8" s="205" t="s">
        <v>41</v>
      </c>
      <c r="I8" s="205">
        <v>1962</v>
      </c>
      <c r="J8" s="140" t="s">
        <v>215</v>
      </c>
      <c r="K8" s="207">
        <v>2019</v>
      </c>
      <c r="L8" s="1"/>
      <c r="M8" s="86" t="s">
        <v>18</v>
      </c>
      <c r="N8" s="86">
        <v>1</v>
      </c>
      <c r="O8" s="86" t="s">
        <v>41</v>
      </c>
      <c r="P8" s="86">
        <v>3.1649999999999998E-2</v>
      </c>
    </row>
    <row r="9" spans="2:16" ht="14.25" customHeight="1" thickBot="1" x14ac:dyDescent="0.35">
      <c r="B9" s="95" t="s">
        <v>148</v>
      </c>
      <c r="C9" s="194">
        <v>0.125</v>
      </c>
      <c r="D9" s="82">
        <f t="shared" si="0"/>
        <v>2024</v>
      </c>
      <c r="E9" s="89"/>
      <c r="F9" s="205" t="s">
        <v>217</v>
      </c>
      <c r="G9" s="206">
        <v>1</v>
      </c>
      <c r="H9" s="205" t="s">
        <v>98</v>
      </c>
      <c r="I9" s="205">
        <v>0.1096</v>
      </c>
      <c r="J9" s="140" t="s">
        <v>218</v>
      </c>
      <c r="K9" s="207">
        <v>2019</v>
      </c>
      <c r="L9" s="1"/>
      <c r="M9" s="139" t="s">
        <v>133</v>
      </c>
      <c r="N9" s="139">
        <v>1</v>
      </c>
      <c r="O9" s="139" t="s">
        <v>41</v>
      </c>
      <c r="P9" s="139">
        <v>2.3300000000000001E-2</v>
      </c>
    </row>
    <row r="10" spans="2:16" ht="14.25" customHeight="1" thickTop="1" thickBot="1" x14ac:dyDescent="0.35">
      <c r="B10" s="98" t="s">
        <v>171</v>
      </c>
      <c r="C10" s="277">
        <v>4.2999999999999997E-2</v>
      </c>
      <c r="D10" s="82">
        <f t="shared" si="0"/>
        <v>2025</v>
      </c>
      <c r="E10" s="89"/>
      <c r="F10" s="82" t="s">
        <v>70</v>
      </c>
      <c r="G10" s="82">
        <v>1</v>
      </c>
      <c r="H10" s="82" t="s">
        <v>21</v>
      </c>
      <c r="I10" s="82">
        <v>3309</v>
      </c>
      <c r="J10" s="88" t="s">
        <v>219</v>
      </c>
      <c r="K10" s="98">
        <v>2019</v>
      </c>
      <c r="L10" s="1"/>
      <c r="M10" s="82" t="s">
        <v>70</v>
      </c>
      <c r="N10" s="82">
        <v>1</v>
      </c>
      <c r="O10" s="82" t="s">
        <v>21</v>
      </c>
      <c r="P10" s="82">
        <v>3.6299999999999999E-2</v>
      </c>
    </row>
    <row r="11" spans="2:16" ht="14.25" customHeight="1" thickBot="1" x14ac:dyDescent="0.35">
      <c r="B11" s="98"/>
      <c r="C11" s="195"/>
      <c r="D11" s="82">
        <f t="shared" si="0"/>
        <v>2026</v>
      </c>
      <c r="E11" s="89"/>
      <c r="F11" s="82" t="s">
        <v>20</v>
      </c>
      <c r="G11" s="82">
        <v>1</v>
      </c>
      <c r="H11" s="82" t="s">
        <v>21</v>
      </c>
      <c r="I11" s="82">
        <v>3309</v>
      </c>
      <c r="J11" s="88" t="s">
        <v>219</v>
      </c>
      <c r="K11" s="118">
        <v>2019</v>
      </c>
      <c r="L11" s="1"/>
      <c r="M11" s="82" t="s">
        <v>20</v>
      </c>
      <c r="N11" s="82">
        <v>1</v>
      </c>
      <c r="O11" s="82" t="s">
        <v>21</v>
      </c>
      <c r="P11" s="82">
        <v>3.6299999999999999E-2</v>
      </c>
    </row>
    <row r="12" spans="2:16" ht="14.25" customHeight="1" thickBot="1" x14ac:dyDescent="0.35">
      <c r="B12" s="95"/>
      <c r="C12" s="194"/>
      <c r="D12" s="82">
        <f t="shared" si="0"/>
        <v>2027</v>
      </c>
      <c r="E12" s="89"/>
      <c r="F12" s="82" t="s">
        <v>22</v>
      </c>
      <c r="G12" s="82">
        <v>1</v>
      </c>
      <c r="H12" s="82" t="s">
        <v>21</v>
      </c>
      <c r="I12" s="82">
        <v>2884</v>
      </c>
      <c r="J12" s="88" t="s">
        <v>219</v>
      </c>
      <c r="K12" s="98">
        <v>2019</v>
      </c>
      <c r="L12" s="1"/>
      <c r="M12" s="82" t="s">
        <v>22</v>
      </c>
      <c r="N12" s="82">
        <v>1</v>
      </c>
      <c r="O12" s="82" t="s">
        <v>21</v>
      </c>
      <c r="P12" s="82">
        <v>3.1E-2</v>
      </c>
    </row>
    <row r="13" spans="2:16" ht="14.25" customHeight="1" thickBot="1" x14ac:dyDescent="0.35">
      <c r="B13" s="95"/>
      <c r="C13" s="194"/>
      <c r="D13" s="82">
        <f t="shared" si="0"/>
        <v>2028</v>
      </c>
      <c r="E13" s="89"/>
      <c r="F13" s="82" t="s">
        <v>220</v>
      </c>
      <c r="G13" s="82">
        <v>1</v>
      </c>
      <c r="H13" s="82" t="s">
        <v>21</v>
      </c>
      <c r="I13" s="82">
        <v>345</v>
      </c>
      <c r="J13" s="88" t="s">
        <v>219</v>
      </c>
      <c r="K13" s="118">
        <v>2019</v>
      </c>
      <c r="L13" s="1"/>
      <c r="M13" s="82" t="s">
        <v>220</v>
      </c>
      <c r="N13" s="82">
        <v>1</v>
      </c>
      <c r="O13" s="82" t="s">
        <v>21</v>
      </c>
      <c r="P13" s="82">
        <v>3.4500000000000003E-2</v>
      </c>
    </row>
    <row r="14" spans="2:16" ht="14.25" customHeight="1" thickBot="1" x14ac:dyDescent="0.35">
      <c r="B14" s="98"/>
      <c r="C14" s="195"/>
      <c r="D14" s="82">
        <f t="shared" si="0"/>
        <v>2029</v>
      </c>
      <c r="E14" s="89"/>
      <c r="F14" s="82" t="s">
        <v>221</v>
      </c>
      <c r="G14" s="82">
        <v>1</v>
      </c>
      <c r="H14" s="82" t="s">
        <v>21</v>
      </c>
      <c r="I14" s="82">
        <v>1806</v>
      </c>
      <c r="J14" s="88" t="s">
        <v>219</v>
      </c>
      <c r="K14" s="98">
        <v>2019</v>
      </c>
      <c r="L14" s="1"/>
      <c r="M14" s="82" t="s">
        <v>221</v>
      </c>
      <c r="N14" s="82">
        <v>1</v>
      </c>
      <c r="O14" s="82" t="s">
        <v>21</v>
      </c>
      <c r="P14" s="82">
        <v>2.35E-2</v>
      </c>
    </row>
    <row r="15" spans="2:16" ht="14.25" customHeight="1" thickBot="1" x14ac:dyDescent="0.35">
      <c r="B15" s="109"/>
      <c r="C15" s="197"/>
      <c r="D15" s="89"/>
      <c r="E15" s="89"/>
      <c r="F15" s="82" t="s">
        <v>222</v>
      </c>
      <c r="G15" s="82">
        <v>1</v>
      </c>
      <c r="H15" s="82" t="s">
        <v>190</v>
      </c>
      <c r="I15" s="82">
        <v>2728</v>
      </c>
      <c r="J15" s="88" t="s">
        <v>218</v>
      </c>
      <c r="K15" s="118">
        <v>2019</v>
      </c>
      <c r="L15" s="1"/>
      <c r="M15" s="82" t="s">
        <v>222</v>
      </c>
      <c r="N15" s="82">
        <v>1</v>
      </c>
      <c r="O15" s="82" t="s">
        <v>190</v>
      </c>
      <c r="P15" s="82">
        <v>3.7999999999999999E-2</v>
      </c>
    </row>
    <row r="16" spans="2:16" ht="14.25" customHeight="1" thickBot="1" x14ac:dyDescent="0.35">
      <c r="B16" s="109"/>
      <c r="C16" s="197"/>
      <c r="D16" s="89"/>
      <c r="E16" s="89"/>
      <c r="F16" s="82" t="s">
        <v>25</v>
      </c>
      <c r="G16" s="82">
        <v>2</v>
      </c>
      <c r="H16" s="82" t="s">
        <v>26</v>
      </c>
      <c r="I16" s="82">
        <v>649</v>
      </c>
      <c r="J16" s="88" t="s">
        <v>223</v>
      </c>
      <c r="K16" s="118">
        <v>2019</v>
      </c>
      <c r="L16" s="1"/>
      <c r="M16" s="82" t="s">
        <v>25</v>
      </c>
      <c r="N16" s="82">
        <v>2</v>
      </c>
      <c r="O16" s="82" t="s">
        <v>26</v>
      </c>
      <c r="P16" s="82">
        <v>5.2199999999999998E-3</v>
      </c>
    </row>
    <row r="17" spans="2:16" ht="14.25" customHeight="1" thickBot="1" x14ac:dyDescent="0.35">
      <c r="B17" s="109"/>
      <c r="C17" s="197"/>
      <c r="D17" s="89"/>
      <c r="E17" s="89"/>
      <c r="F17" s="82" t="s">
        <v>27</v>
      </c>
      <c r="G17" s="82">
        <v>2</v>
      </c>
      <c r="H17" s="82" t="s">
        <v>26</v>
      </c>
      <c r="I17" s="82">
        <v>0</v>
      </c>
      <c r="J17" s="88" t="s">
        <v>223</v>
      </c>
      <c r="K17" s="98">
        <v>2019</v>
      </c>
      <c r="L17" s="1"/>
      <c r="M17" s="82" t="s">
        <v>27</v>
      </c>
      <c r="N17" s="82">
        <v>2</v>
      </c>
      <c r="O17" s="82" t="s">
        <v>26</v>
      </c>
      <c r="P17" s="82">
        <v>5.2199999999999998E-3</v>
      </c>
    </row>
    <row r="18" spans="2:16" ht="14.25" customHeight="1" thickBot="1" x14ac:dyDescent="0.35">
      <c r="B18" s="109"/>
      <c r="C18" s="197"/>
      <c r="D18" s="89"/>
      <c r="E18" s="89"/>
      <c r="F18" s="82" t="s">
        <v>28</v>
      </c>
      <c r="G18" s="82">
        <v>2</v>
      </c>
      <c r="H18" s="82" t="s">
        <v>26</v>
      </c>
      <c r="I18" s="82">
        <f>I16</f>
        <v>649</v>
      </c>
      <c r="J18" s="88" t="s">
        <v>223</v>
      </c>
      <c r="K18" s="117">
        <v>2019</v>
      </c>
      <c r="L18" s="1"/>
      <c r="M18" s="82" t="s">
        <v>28</v>
      </c>
      <c r="N18" s="82">
        <v>2</v>
      </c>
      <c r="O18" s="82" t="s">
        <v>26</v>
      </c>
      <c r="P18" s="82">
        <v>5.2199999999999998E-3</v>
      </c>
    </row>
    <row r="19" spans="2:16" ht="14.25" customHeight="1" thickBot="1" x14ac:dyDescent="0.35">
      <c r="B19" s="109"/>
      <c r="C19" s="197"/>
      <c r="D19" s="89"/>
      <c r="E19" s="89"/>
      <c r="F19" s="82" t="s">
        <v>76</v>
      </c>
      <c r="G19" s="82">
        <v>2</v>
      </c>
      <c r="H19" s="82" t="s">
        <v>98</v>
      </c>
      <c r="I19" s="82">
        <v>35970</v>
      </c>
      <c r="J19" s="88" t="s">
        <v>224</v>
      </c>
      <c r="K19" s="118">
        <v>2019</v>
      </c>
      <c r="L19" s="1"/>
      <c r="M19" s="82" t="s">
        <v>225</v>
      </c>
      <c r="N19" s="82">
        <v>2</v>
      </c>
      <c r="O19" s="82" t="s">
        <v>98</v>
      </c>
      <c r="P19" s="82">
        <v>1.1100000000000001</v>
      </c>
    </row>
    <row r="20" spans="2:16" ht="14.25" customHeight="1" thickBot="1" x14ac:dyDescent="0.35">
      <c r="B20" s="109"/>
      <c r="C20" s="197"/>
      <c r="D20" s="90"/>
      <c r="E20" s="90"/>
      <c r="F20" s="82" t="s">
        <v>31</v>
      </c>
      <c r="G20" s="108" t="s">
        <v>226</v>
      </c>
      <c r="H20" s="82" t="s">
        <v>32</v>
      </c>
      <c r="I20" s="82">
        <v>220</v>
      </c>
      <c r="J20" s="88" t="s">
        <v>227</v>
      </c>
      <c r="K20" s="98">
        <v>2019</v>
      </c>
      <c r="L20" s="1"/>
      <c r="M20" s="133"/>
      <c r="N20" s="133"/>
      <c r="O20" s="133"/>
      <c r="P20" s="133"/>
    </row>
    <row r="21" spans="2:16" ht="14.25" customHeight="1" thickTop="1" thickBot="1" x14ac:dyDescent="0.35">
      <c r="B21" s="109"/>
      <c r="C21" s="197"/>
      <c r="D21" s="110"/>
      <c r="E21" s="110"/>
      <c r="F21" s="82" t="s">
        <v>33</v>
      </c>
      <c r="G21" s="108" t="s">
        <v>226</v>
      </c>
      <c r="H21" s="82" t="s">
        <v>32</v>
      </c>
      <c r="I21" s="82">
        <v>36</v>
      </c>
      <c r="J21" s="88" t="s">
        <v>227</v>
      </c>
      <c r="K21" s="118">
        <v>2019</v>
      </c>
      <c r="L21" s="1"/>
      <c r="M21" s="1"/>
      <c r="N21" s="1"/>
      <c r="O21" s="1"/>
      <c r="P21" s="1"/>
    </row>
    <row r="22" spans="2:16" ht="14.25" customHeight="1" thickBot="1" x14ac:dyDescent="0.35">
      <c r="B22" s="1"/>
      <c r="C22" s="25"/>
      <c r="D22" s="1"/>
      <c r="E22" s="1"/>
      <c r="F22" s="82" t="s">
        <v>122</v>
      </c>
      <c r="G22" s="108" t="s">
        <v>226</v>
      </c>
      <c r="H22" s="82" t="s">
        <v>32</v>
      </c>
      <c r="I22" s="82">
        <v>6</v>
      </c>
      <c r="J22" s="88" t="s">
        <v>227</v>
      </c>
      <c r="K22" s="98">
        <v>2019</v>
      </c>
      <c r="L22" s="1"/>
      <c r="M22" s="1"/>
      <c r="N22" s="1"/>
      <c r="O22" s="1"/>
      <c r="P22" s="1"/>
    </row>
    <row r="23" spans="2:16" ht="14.25" customHeight="1" thickBot="1" x14ac:dyDescent="0.35">
      <c r="B23" s="1"/>
      <c r="C23" s="25"/>
      <c r="D23" s="1"/>
      <c r="E23" s="1"/>
      <c r="F23" s="82" t="s">
        <v>34</v>
      </c>
      <c r="G23" s="108" t="s">
        <v>226</v>
      </c>
      <c r="H23" s="82" t="s">
        <v>32</v>
      </c>
      <c r="I23" s="82">
        <v>297</v>
      </c>
      <c r="J23" s="88" t="s">
        <v>227</v>
      </c>
      <c r="K23" s="98">
        <v>2019</v>
      </c>
      <c r="L23" s="1"/>
      <c r="M23" s="1"/>
      <c r="N23" s="1"/>
      <c r="O23" s="1"/>
      <c r="P23" s="1"/>
    </row>
    <row r="24" spans="2:16" ht="14.25" customHeight="1" thickBot="1" x14ac:dyDescent="0.35">
      <c r="B24" s="1"/>
      <c r="C24" s="25"/>
      <c r="D24" s="1"/>
      <c r="E24" s="1"/>
      <c r="F24" s="82" t="s">
        <v>35</v>
      </c>
      <c r="G24" s="108" t="s">
        <v>226</v>
      </c>
      <c r="H24" s="82" t="s">
        <v>32</v>
      </c>
      <c r="I24" s="82">
        <v>200</v>
      </c>
      <c r="J24" s="88" t="s">
        <v>227</v>
      </c>
      <c r="K24" s="118">
        <v>2019</v>
      </c>
      <c r="L24" s="1"/>
      <c r="M24" s="1"/>
      <c r="N24" s="1"/>
      <c r="O24" s="1"/>
      <c r="P24" s="1"/>
    </row>
    <row r="25" spans="2:16" ht="14.25" customHeight="1" thickBot="1" x14ac:dyDescent="0.35">
      <c r="B25" s="1"/>
      <c r="C25" s="25"/>
      <c r="D25" s="1"/>
      <c r="E25" s="1"/>
      <c r="F25" s="133" t="s">
        <v>36</v>
      </c>
      <c r="G25" s="137" t="s">
        <v>226</v>
      </c>
      <c r="H25" s="133" t="s">
        <v>32</v>
      </c>
      <c r="I25" s="133">
        <v>147</v>
      </c>
      <c r="J25" s="134" t="s">
        <v>227</v>
      </c>
      <c r="K25" s="138">
        <v>2019</v>
      </c>
      <c r="L25" s="1"/>
      <c r="M25" s="1"/>
      <c r="N25" s="1"/>
      <c r="O25" s="1"/>
      <c r="P25" s="1"/>
    </row>
    <row r="26" spans="2:16" ht="14.25" customHeight="1" thickTop="1" thickBot="1" x14ac:dyDescent="0.35">
      <c r="B26" s="1"/>
      <c r="C26" s="25"/>
      <c r="D26" s="1"/>
      <c r="E26" s="1"/>
      <c r="F26" s="86" t="s">
        <v>18</v>
      </c>
      <c r="G26" s="139">
        <v>1</v>
      </c>
      <c r="H26" s="139" t="s">
        <v>41</v>
      </c>
      <c r="I26" s="139">
        <v>1884</v>
      </c>
      <c r="J26" s="140" t="s">
        <v>215</v>
      </c>
      <c r="K26" s="117">
        <v>2020</v>
      </c>
      <c r="L26" s="1"/>
      <c r="M26" s="1"/>
      <c r="N26" s="1"/>
      <c r="O26" s="1"/>
      <c r="P26" s="1"/>
    </row>
    <row r="27" spans="2:16" ht="14.25" customHeight="1" thickBot="1" x14ac:dyDescent="0.35">
      <c r="B27" s="1"/>
      <c r="C27" s="25"/>
      <c r="D27" s="1"/>
      <c r="E27" s="1"/>
      <c r="F27" s="205" t="s">
        <v>217</v>
      </c>
      <c r="G27" s="206">
        <v>1</v>
      </c>
      <c r="H27" s="205" t="s">
        <v>98</v>
      </c>
      <c r="I27" s="205">
        <v>0.1096</v>
      </c>
      <c r="J27" s="140" t="s">
        <v>218</v>
      </c>
      <c r="K27" s="207">
        <v>2020</v>
      </c>
      <c r="L27" s="1"/>
      <c r="M27" s="1"/>
      <c r="N27" s="1"/>
      <c r="O27" s="1"/>
      <c r="P27" s="1"/>
    </row>
    <row r="28" spans="2:16" ht="14.25" customHeight="1" thickBot="1" x14ac:dyDescent="0.35">
      <c r="B28" s="1"/>
      <c r="C28" s="25"/>
      <c r="D28" s="1"/>
      <c r="E28" s="1"/>
      <c r="F28" s="205" t="s">
        <v>42</v>
      </c>
      <c r="G28" s="206" t="s">
        <v>216</v>
      </c>
      <c r="H28" s="205" t="s">
        <v>41</v>
      </c>
      <c r="I28" s="205">
        <v>1962</v>
      </c>
      <c r="J28" s="140" t="s">
        <v>215</v>
      </c>
      <c r="K28" s="117">
        <v>2020</v>
      </c>
      <c r="L28" s="1"/>
      <c r="M28" s="1"/>
      <c r="N28" s="1"/>
      <c r="O28" s="1"/>
      <c r="P28" s="1"/>
    </row>
    <row r="29" spans="2:16" ht="14.25" customHeight="1" thickBot="1" x14ac:dyDescent="0.35">
      <c r="B29" s="1"/>
      <c r="C29" s="25"/>
      <c r="D29" s="1"/>
      <c r="E29" s="1"/>
      <c r="F29" s="205" t="s">
        <v>40</v>
      </c>
      <c r="G29" s="137" t="s">
        <v>216</v>
      </c>
      <c r="H29" s="133" t="s">
        <v>41</v>
      </c>
      <c r="I29" s="133">
        <v>1962</v>
      </c>
      <c r="J29" s="134" t="s">
        <v>215</v>
      </c>
      <c r="K29" s="138">
        <v>2020</v>
      </c>
      <c r="L29" s="1"/>
      <c r="M29" s="1"/>
      <c r="N29" s="1"/>
      <c r="O29" s="1"/>
      <c r="P29" s="1"/>
    </row>
    <row r="30" spans="2:16" ht="14.25" customHeight="1" thickBot="1" x14ac:dyDescent="0.35">
      <c r="B30" s="1"/>
      <c r="C30" s="25"/>
      <c r="D30" s="1"/>
      <c r="E30" s="1"/>
      <c r="F30" s="82" t="s">
        <v>133</v>
      </c>
      <c r="G30" s="82">
        <v>1</v>
      </c>
      <c r="H30" s="82" t="s">
        <v>41</v>
      </c>
      <c r="I30" s="82">
        <f>((65%*680)*25)</f>
        <v>11050</v>
      </c>
      <c r="J30" s="88" t="s">
        <v>215</v>
      </c>
      <c r="K30" s="118">
        <v>2020</v>
      </c>
      <c r="L30" s="1"/>
      <c r="M30" s="1"/>
      <c r="N30" s="1"/>
      <c r="O30" s="1"/>
      <c r="P30" s="1"/>
    </row>
    <row r="31" spans="2:16" ht="14.25" customHeight="1" thickBot="1" x14ac:dyDescent="0.35">
      <c r="B31" s="1"/>
      <c r="C31" s="25"/>
      <c r="D31" s="1"/>
      <c r="E31" s="1"/>
      <c r="F31" s="82" t="s">
        <v>70</v>
      </c>
      <c r="G31" s="82">
        <v>1</v>
      </c>
      <c r="H31" s="82" t="s">
        <v>21</v>
      </c>
      <c r="I31" s="82">
        <v>3262</v>
      </c>
      <c r="J31" s="88" t="s">
        <v>219</v>
      </c>
      <c r="K31" s="98">
        <v>2020</v>
      </c>
      <c r="L31" s="1"/>
      <c r="M31" s="1"/>
      <c r="N31" s="1"/>
      <c r="O31" s="1"/>
      <c r="P31" s="1"/>
    </row>
    <row r="32" spans="2:16" ht="14.25" customHeight="1" thickBot="1" x14ac:dyDescent="0.35">
      <c r="B32" s="1"/>
      <c r="C32" s="25"/>
      <c r="D32" s="1"/>
      <c r="E32" s="1"/>
      <c r="F32" s="82" t="s">
        <v>20</v>
      </c>
      <c r="G32" s="82">
        <v>1</v>
      </c>
      <c r="H32" s="82" t="s">
        <v>21</v>
      </c>
      <c r="I32" s="82">
        <v>3262</v>
      </c>
      <c r="J32" s="88" t="s">
        <v>219</v>
      </c>
      <c r="K32" s="117">
        <v>2020</v>
      </c>
      <c r="L32" s="1"/>
      <c r="M32" s="1"/>
      <c r="N32" s="1"/>
      <c r="O32" s="1"/>
      <c r="P32" s="1"/>
    </row>
    <row r="33" spans="2:16" ht="14.25" customHeight="1" thickBot="1" x14ac:dyDescent="0.35">
      <c r="B33" s="109"/>
      <c r="C33" s="197"/>
      <c r="D33" s="89"/>
      <c r="E33" s="89"/>
      <c r="F33" s="82" t="s">
        <v>22</v>
      </c>
      <c r="G33" s="82">
        <v>1</v>
      </c>
      <c r="H33" s="82" t="s">
        <v>21</v>
      </c>
      <c r="I33" s="82">
        <v>2784</v>
      </c>
      <c r="J33" s="88" t="s">
        <v>219</v>
      </c>
      <c r="K33" s="98">
        <v>2020</v>
      </c>
      <c r="L33" s="1"/>
      <c r="M33" s="1"/>
      <c r="N33" s="1"/>
      <c r="O33" s="1"/>
      <c r="P33" s="1"/>
    </row>
    <row r="34" spans="2:16" ht="14.25" customHeight="1" thickBot="1" x14ac:dyDescent="0.35">
      <c r="B34" s="1"/>
      <c r="C34" s="25"/>
      <c r="D34" s="1"/>
      <c r="E34" s="1"/>
      <c r="F34" s="82" t="s">
        <v>220</v>
      </c>
      <c r="G34" s="82">
        <v>1</v>
      </c>
      <c r="H34" s="82" t="s">
        <v>21</v>
      </c>
      <c r="I34" s="82">
        <v>345</v>
      </c>
      <c r="J34" s="88" t="s">
        <v>219</v>
      </c>
      <c r="K34" s="117">
        <v>2020</v>
      </c>
      <c r="L34" s="1"/>
      <c r="M34" s="1"/>
      <c r="N34" s="1"/>
      <c r="O34" s="1"/>
      <c r="P34" s="1"/>
    </row>
    <row r="35" spans="2:16" ht="14.25" customHeight="1" thickBot="1" x14ac:dyDescent="0.35">
      <c r="B35" s="1"/>
      <c r="C35" s="25"/>
      <c r="D35" s="1"/>
      <c r="E35" s="1"/>
      <c r="F35" s="82" t="s">
        <v>221</v>
      </c>
      <c r="G35" s="82">
        <v>1</v>
      </c>
      <c r="H35" s="82" t="s">
        <v>21</v>
      </c>
      <c r="I35" s="82">
        <v>1806</v>
      </c>
      <c r="J35" s="88" t="s">
        <v>219</v>
      </c>
      <c r="K35" s="98">
        <v>2020</v>
      </c>
      <c r="L35" s="1"/>
      <c r="M35" s="1"/>
      <c r="N35" s="1"/>
      <c r="O35" s="1"/>
      <c r="P35" s="1"/>
    </row>
    <row r="36" spans="2:16" ht="14.25" customHeight="1" thickBot="1" x14ac:dyDescent="0.35">
      <c r="B36" s="1"/>
      <c r="C36" s="25"/>
      <c r="D36" s="1"/>
      <c r="E36" s="1"/>
      <c r="F36" s="82" t="s">
        <v>222</v>
      </c>
      <c r="G36" s="82">
        <v>1</v>
      </c>
      <c r="H36" s="82" t="s">
        <v>190</v>
      </c>
      <c r="I36" s="82">
        <v>2728</v>
      </c>
      <c r="J36" s="88" t="s">
        <v>218</v>
      </c>
      <c r="K36" s="117">
        <v>2020</v>
      </c>
      <c r="L36" s="1"/>
      <c r="M36" s="1"/>
      <c r="N36" s="1"/>
      <c r="O36" s="1"/>
      <c r="P36" s="1"/>
    </row>
    <row r="37" spans="2:16" ht="14.25" customHeight="1" thickBot="1" x14ac:dyDescent="0.35">
      <c r="B37" s="1"/>
      <c r="C37" s="25"/>
      <c r="D37" s="1"/>
      <c r="E37" s="1"/>
      <c r="F37" s="82" t="s">
        <v>25</v>
      </c>
      <c r="G37" s="82">
        <v>2</v>
      </c>
      <c r="H37" s="82" t="s">
        <v>26</v>
      </c>
      <c r="I37" s="82">
        <v>556</v>
      </c>
      <c r="J37" s="88" t="s">
        <v>223</v>
      </c>
      <c r="K37" s="117">
        <v>2020</v>
      </c>
      <c r="L37" s="1"/>
      <c r="M37" s="1"/>
      <c r="N37" s="1"/>
      <c r="O37" s="1"/>
      <c r="P37" s="1"/>
    </row>
    <row r="38" spans="2:16" ht="14.25" customHeight="1" thickBot="1" x14ac:dyDescent="0.35">
      <c r="B38" s="1"/>
      <c r="C38" s="25"/>
      <c r="D38" s="1"/>
      <c r="E38" s="1"/>
      <c r="F38" s="82" t="s">
        <v>27</v>
      </c>
      <c r="G38" s="82">
        <v>2</v>
      </c>
      <c r="H38" s="82" t="s">
        <v>26</v>
      </c>
      <c r="I38" s="82">
        <v>0</v>
      </c>
      <c r="J38" s="88" t="s">
        <v>223</v>
      </c>
      <c r="K38" s="98">
        <v>2020</v>
      </c>
      <c r="L38" s="1"/>
      <c r="M38" s="1"/>
      <c r="N38" s="1"/>
      <c r="O38" s="1"/>
      <c r="P38" s="1"/>
    </row>
    <row r="39" spans="2:16" ht="14.25" customHeight="1" thickBot="1" x14ac:dyDescent="0.35">
      <c r="B39" s="1"/>
      <c r="C39" s="25"/>
      <c r="D39" s="1"/>
      <c r="E39" s="1"/>
      <c r="F39" s="82" t="s">
        <v>28</v>
      </c>
      <c r="G39" s="82">
        <v>2</v>
      </c>
      <c r="H39" s="82" t="s">
        <v>26</v>
      </c>
      <c r="I39" s="82">
        <f>I37</f>
        <v>556</v>
      </c>
      <c r="J39" s="88" t="s">
        <v>223</v>
      </c>
      <c r="K39" s="117">
        <v>2020</v>
      </c>
      <c r="L39" s="1"/>
      <c r="M39" s="1"/>
      <c r="N39" s="1"/>
      <c r="O39" s="1"/>
      <c r="P39" s="1"/>
    </row>
    <row r="40" spans="2:16" ht="14.25" customHeight="1" thickBot="1" x14ac:dyDescent="0.35">
      <c r="B40" s="1"/>
      <c r="C40" s="25"/>
      <c r="D40" s="1"/>
      <c r="E40" s="1"/>
      <c r="F40" s="82" t="s">
        <v>76</v>
      </c>
      <c r="G40" s="82">
        <v>2</v>
      </c>
      <c r="H40" s="82" t="s">
        <v>98</v>
      </c>
      <c r="I40" s="82">
        <v>35970</v>
      </c>
      <c r="J40" s="88" t="s">
        <v>224</v>
      </c>
      <c r="K40" s="117">
        <v>2020</v>
      </c>
      <c r="L40" s="1"/>
      <c r="M40" s="1"/>
      <c r="N40" s="1"/>
      <c r="O40" s="1"/>
      <c r="P40" s="1"/>
    </row>
    <row r="41" spans="2:16" ht="14.25" customHeight="1" thickBot="1" x14ac:dyDescent="0.35">
      <c r="B41" s="1"/>
      <c r="C41" s="25"/>
      <c r="D41" s="1"/>
      <c r="E41" s="1"/>
      <c r="F41" s="82" t="s">
        <v>31</v>
      </c>
      <c r="G41" s="108" t="s">
        <v>226</v>
      </c>
      <c r="H41" s="82" t="s">
        <v>32</v>
      </c>
      <c r="I41" s="82">
        <v>195</v>
      </c>
      <c r="J41" s="88" t="s">
        <v>227</v>
      </c>
      <c r="K41" s="98">
        <v>2020</v>
      </c>
      <c r="L41" s="1"/>
      <c r="M41" s="1"/>
      <c r="N41" s="1"/>
      <c r="O41" s="1"/>
      <c r="P41" s="1"/>
    </row>
    <row r="42" spans="2:16" ht="14.25" customHeight="1" thickBot="1" x14ac:dyDescent="0.35">
      <c r="B42" s="1"/>
      <c r="C42" s="25"/>
      <c r="D42" s="1"/>
      <c r="E42" s="1"/>
      <c r="F42" s="82" t="s">
        <v>33</v>
      </c>
      <c r="G42" s="108" t="s">
        <v>226</v>
      </c>
      <c r="H42" s="82" t="s">
        <v>32</v>
      </c>
      <c r="I42" s="82">
        <v>36</v>
      </c>
      <c r="J42" s="88" t="s">
        <v>227</v>
      </c>
      <c r="K42" s="117">
        <v>2020</v>
      </c>
      <c r="L42" s="1"/>
      <c r="M42" s="1"/>
      <c r="N42" s="1"/>
      <c r="O42" s="1"/>
      <c r="P42" s="1"/>
    </row>
    <row r="43" spans="2:16" ht="14.25" customHeight="1" thickBot="1" x14ac:dyDescent="0.35">
      <c r="B43" s="1"/>
      <c r="C43" s="25"/>
      <c r="D43" s="1"/>
      <c r="E43" s="1"/>
      <c r="F43" s="82" t="s">
        <v>122</v>
      </c>
      <c r="G43" s="108" t="s">
        <v>226</v>
      </c>
      <c r="H43" s="82" t="s">
        <v>32</v>
      </c>
      <c r="I43" s="82">
        <v>6</v>
      </c>
      <c r="J43" s="88" t="s">
        <v>227</v>
      </c>
      <c r="K43" s="98">
        <v>2020</v>
      </c>
      <c r="L43" s="1"/>
      <c r="M43" s="1"/>
      <c r="N43" s="1"/>
      <c r="O43" s="1"/>
      <c r="P43" s="1"/>
    </row>
    <row r="44" spans="2:16" ht="14.25" customHeight="1" thickBot="1" x14ac:dyDescent="0.35">
      <c r="B44" s="1"/>
      <c r="C44" s="25"/>
      <c r="D44" s="1"/>
      <c r="E44" s="1"/>
      <c r="F44" s="82" t="s">
        <v>34</v>
      </c>
      <c r="G44" s="108" t="s">
        <v>226</v>
      </c>
      <c r="H44" s="82" t="s">
        <v>32</v>
      </c>
      <c r="I44" s="82">
        <v>297</v>
      </c>
      <c r="J44" s="88" t="s">
        <v>227</v>
      </c>
      <c r="K44" s="98">
        <v>2020</v>
      </c>
      <c r="L44" s="1"/>
      <c r="M44" s="1"/>
      <c r="N44" s="1"/>
      <c r="O44" s="1"/>
      <c r="P44" s="1"/>
    </row>
    <row r="45" spans="2:16" ht="14.25" customHeight="1" thickBot="1" x14ac:dyDescent="0.35">
      <c r="B45" s="1"/>
      <c r="C45" s="25"/>
      <c r="D45" s="1"/>
      <c r="E45" s="1"/>
      <c r="F45" s="82" t="s">
        <v>35</v>
      </c>
      <c r="G45" s="108" t="s">
        <v>226</v>
      </c>
      <c r="H45" s="82" t="s">
        <v>32</v>
      </c>
      <c r="I45" s="82">
        <v>200</v>
      </c>
      <c r="J45" s="88" t="s">
        <v>227</v>
      </c>
      <c r="K45" s="117">
        <v>2020</v>
      </c>
      <c r="L45" s="1"/>
      <c r="M45" s="1"/>
      <c r="N45" s="1"/>
      <c r="O45" s="1"/>
      <c r="P45" s="1"/>
    </row>
    <row r="46" spans="2:16" ht="14.25" customHeight="1" thickBot="1" x14ac:dyDescent="0.35">
      <c r="B46" s="1"/>
      <c r="C46" s="25"/>
      <c r="D46" s="1"/>
      <c r="E46" s="1"/>
      <c r="F46" s="133" t="s">
        <v>36</v>
      </c>
      <c r="G46" s="137" t="s">
        <v>226</v>
      </c>
      <c r="H46" s="133" t="s">
        <v>32</v>
      </c>
      <c r="I46" s="133">
        <v>147</v>
      </c>
      <c r="J46" s="134" t="s">
        <v>227</v>
      </c>
      <c r="K46" s="138">
        <v>2020</v>
      </c>
      <c r="L46" s="1"/>
      <c r="M46" s="1"/>
      <c r="N46" s="1"/>
      <c r="O46" s="1"/>
      <c r="P46" s="1"/>
    </row>
    <row r="47" spans="2:16" ht="14.25" customHeight="1" thickTop="1" thickBot="1" x14ac:dyDescent="0.35">
      <c r="B47" s="1"/>
      <c r="C47" s="25"/>
      <c r="D47" s="1"/>
      <c r="E47" s="1"/>
      <c r="F47" s="86" t="s">
        <v>18</v>
      </c>
      <c r="G47" s="139">
        <v>1</v>
      </c>
      <c r="H47" s="139" t="s">
        <v>41</v>
      </c>
      <c r="I47" s="139">
        <v>1884</v>
      </c>
      <c r="J47" s="140" t="s">
        <v>215</v>
      </c>
      <c r="K47" s="117">
        <v>2021</v>
      </c>
      <c r="L47" s="1"/>
      <c r="M47" s="1"/>
      <c r="N47" s="1"/>
      <c r="O47" s="1"/>
      <c r="P47" s="1"/>
    </row>
    <row r="48" spans="2:16" ht="14.25" customHeight="1" thickBot="1" x14ac:dyDescent="0.35">
      <c r="B48" s="1"/>
      <c r="C48" s="25"/>
      <c r="D48" s="1"/>
      <c r="E48" s="1"/>
      <c r="F48" s="205" t="s">
        <v>217</v>
      </c>
      <c r="G48" s="206">
        <v>1</v>
      </c>
      <c r="H48" s="205" t="s">
        <v>98</v>
      </c>
      <c r="I48" s="205">
        <v>0.1096</v>
      </c>
      <c r="J48" s="140" t="s">
        <v>218</v>
      </c>
      <c r="K48" s="207">
        <v>2021</v>
      </c>
      <c r="L48" s="1"/>
      <c r="M48" s="1"/>
      <c r="N48" s="1"/>
      <c r="O48" s="1"/>
      <c r="P48" s="1"/>
    </row>
    <row r="49" spans="2:16" ht="14.25" customHeight="1" thickBot="1" x14ac:dyDescent="0.35">
      <c r="B49" s="1"/>
      <c r="C49" s="25"/>
      <c r="D49" s="1"/>
      <c r="E49" s="1"/>
      <c r="F49" s="205" t="s">
        <v>42</v>
      </c>
      <c r="G49" s="206" t="s">
        <v>216</v>
      </c>
      <c r="H49" s="205" t="s">
        <v>41</v>
      </c>
      <c r="I49" s="205">
        <v>1962</v>
      </c>
      <c r="J49" s="140" t="s">
        <v>215</v>
      </c>
      <c r="K49" s="117">
        <v>2021</v>
      </c>
      <c r="L49" s="1"/>
      <c r="M49" s="1"/>
      <c r="N49" s="1"/>
      <c r="O49" s="1"/>
      <c r="P49" s="1"/>
    </row>
    <row r="50" spans="2:16" ht="14.25" customHeight="1" thickBot="1" x14ac:dyDescent="0.35">
      <c r="B50" s="1"/>
      <c r="C50" s="25"/>
      <c r="D50" s="1"/>
      <c r="E50" s="1"/>
      <c r="F50" s="205" t="s">
        <v>40</v>
      </c>
      <c r="G50" s="137" t="s">
        <v>216</v>
      </c>
      <c r="H50" s="133" t="s">
        <v>41</v>
      </c>
      <c r="I50" s="133">
        <v>1962</v>
      </c>
      <c r="J50" s="134" t="s">
        <v>215</v>
      </c>
      <c r="K50" s="138">
        <v>2021</v>
      </c>
      <c r="L50" s="1"/>
      <c r="M50" s="1"/>
      <c r="N50" s="1"/>
      <c r="O50" s="1"/>
      <c r="P50" s="1"/>
    </row>
    <row r="51" spans="2:16" ht="14.25" customHeight="1" thickBot="1" x14ac:dyDescent="0.35">
      <c r="B51" s="1"/>
      <c r="C51" s="25"/>
      <c r="D51" s="1"/>
      <c r="E51" s="1"/>
      <c r="F51" s="82" t="s">
        <v>70</v>
      </c>
      <c r="G51" s="82">
        <v>1</v>
      </c>
      <c r="H51" s="82" t="s">
        <v>21</v>
      </c>
      <c r="I51" s="82">
        <v>3262</v>
      </c>
      <c r="J51" s="88" t="s">
        <v>219</v>
      </c>
      <c r="K51" s="98">
        <v>2021</v>
      </c>
      <c r="L51" s="1"/>
      <c r="M51" s="1"/>
      <c r="N51" s="1"/>
      <c r="O51" s="1"/>
      <c r="P51" s="1"/>
    </row>
    <row r="52" spans="2:16" ht="14.25" customHeight="1" thickBot="1" x14ac:dyDescent="0.35">
      <c r="B52" s="1"/>
      <c r="C52" s="25"/>
      <c r="D52" s="1"/>
      <c r="E52" s="1"/>
      <c r="F52" s="82" t="s">
        <v>20</v>
      </c>
      <c r="G52" s="82">
        <v>1</v>
      </c>
      <c r="H52" s="82" t="s">
        <v>21</v>
      </c>
      <c r="I52" s="82">
        <v>3262</v>
      </c>
      <c r="J52" s="88" t="s">
        <v>219</v>
      </c>
      <c r="K52" s="118">
        <v>2021</v>
      </c>
      <c r="L52" s="1"/>
      <c r="M52" s="1"/>
      <c r="N52" s="1"/>
      <c r="O52" s="1"/>
      <c r="P52" s="1"/>
    </row>
    <row r="53" spans="2:16" ht="14.25" customHeight="1" thickBot="1" x14ac:dyDescent="0.35">
      <c r="B53" s="1"/>
      <c r="C53" s="25"/>
      <c r="D53" s="1"/>
      <c r="E53" s="1"/>
      <c r="F53" s="82" t="s">
        <v>22</v>
      </c>
      <c r="G53" s="82">
        <v>1</v>
      </c>
      <c r="H53" s="82" t="s">
        <v>21</v>
      </c>
      <c r="I53" s="82">
        <v>2784</v>
      </c>
      <c r="J53" s="88" t="s">
        <v>219</v>
      </c>
      <c r="K53" s="98">
        <v>2021</v>
      </c>
      <c r="L53" s="1"/>
      <c r="M53" s="1"/>
      <c r="N53" s="1"/>
      <c r="O53" s="1"/>
      <c r="P53" s="1"/>
    </row>
    <row r="54" spans="2:16" ht="14.25" customHeight="1" thickBot="1" x14ac:dyDescent="0.35">
      <c r="B54" s="1"/>
      <c r="C54" s="25"/>
      <c r="D54" s="1"/>
      <c r="E54" s="1"/>
      <c r="F54" s="82" t="s">
        <v>220</v>
      </c>
      <c r="G54" s="82">
        <v>1</v>
      </c>
      <c r="H54" s="82" t="s">
        <v>21</v>
      </c>
      <c r="I54" s="82">
        <v>314</v>
      </c>
      <c r="J54" s="88" t="s">
        <v>219</v>
      </c>
      <c r="K54" s="118">
        <v>2021</v>
      </c>
      <c r="L54" s="1"/>
      <c r="M54" s="1"/>
      <c r="N54" s="1"/>
      <c r="O54" s="1"/>
      <c r="P54" s="1"/>
    </row>
    <row r="55" spans="2:16" ht="14.25" customHeight="1" thickBot="1" x14ac:dyDescent="0.35">
      <c r="B55" s="1"/>
      <c r="C55" s="25"/>
      <c r="D55" s="1"/>
      <c r="E55" s="1"/>
      <c r="F55" s="82" t="s">
        <v>221</v>
      </c>
      <c r="G55" s="82">
        <v>1</v>
      </c>
      <c r="H55" s="82" t="s">
        <v>21</v>
      </c>
      <c r="I55" s="82">
        <v>1798</v>
      </c>
      <c r="J55" s="88" t="s">
        <v>219</v>
      </c>
      <c r="K55" s="98">
        <v>2021</v>
      </c>
      <c r="L55" s="1"/>
      <c r="M55" s="1"/>
      <c r="N55" s="1"/>
      <c r="O55" s="1"/>
      <c r="P55" s="1"/>
    </row>
    <row r="56" spans="2:16" ht="14.25" customHeight="1" thickBot="1" x14ac:dyDescent="0.35">
      <c r="B56" s="1"/>
      <c r="C56" s="25"/>
      <c r="D56" s="1"/>
      <c r="E56" s="1"/>
      <c r="F56" s="82" t="s">
        <v>222</v>
      </c>
      <c r="G56" s="82">
        <v>1</v>
      </c>
      <c r="H56" s="82" t="s">
        <v>190</v>
      </c>
      <c r="I56" s="82">
        <v>2633</v>
      </c>
      <c r="J56" s="88" t="s">
        <v>218</v>
      </c>
      <c r="K56" s="118">
        <v>2021</v>
      </c>
      <c r="L56" s="1"/>
      <c r="M56" s="1"/>
      <c r="N56" s="1"/>
      <c r="O56" s="1"/>
      <c r="P56" s="1"/>
    </row>
    <row r="57" spans="2:16" ht="14.25" customHeight="1" thickBot="1" x14ac:dyDescent="0.35">
      <c r="B57" s="1"/>
      <c r="C57" s="25"/>
      <c r="D57" s="1"/>
      <c r="E57" s="1"/>
      <c r="F57" s="82" t="s">
        <v>25</v>
      </c>
      <c r="G57" s="82">
        <v>2</v>
      </c>
      <c r="H57" s="82" t="s">
        <v>26</v>
      </c>
      <c r="I57" s="82">
        <v>556</v>
      </c>
      <c r="J57" s="88" t="s">
        <v>223</v>
      </c>
      <c r="K57" s="118">
        <v>2021</v>
      </c>
      <c r="L57" s="1"/>
      <c r="M57" s="1"/>
      <c r="N57" s="1"/>
      <c r="O57" s="1"/>
      <c r="P57" s="1"/>
    </row>
    <row r="58" spans="2:16" ht="14.25" customHeight="1" thickBot="1" x14ac:dyDescent="0.35">
      <c r="B58" s="1"/>
      <c r="C58" s="25"/>
      <c r="D58" s="1"/>
      <c r="E58" s="1"/>
      <c r="F58" s="82" t="s">
        <v>27</v>
      </c>
      <c r="G58" s="82">
        <v>2</v>
      </c>
      <c r="H58" s="82" t="s">
        <v>26</v>
      </c>
      <c r="I58" s="82">
        <v>0</v>
      </c>
      <c r="J58" s="88" t="s">
        <v>223</v>
      </c>
      <c r="K58" s="98">
        <v>2021</v>
      </c>
      <c r="L58" s="1"/>
      <c r="M58" s="1"/>
      <c r="N58" s="1"/>
      <c r="O58" s="1"/>
      <c r="P58" s="1"/>
    </row>
    <row r="59" spans="2:16" ht="14.25" customHeight="1" thickBot="1" x14ac:dyDescent="0.35">
      <c r="B59" s="1"/>
      <c r="C59" s="25"/>
      <c r="D59" s="1"/>
      <c r="E59" s="1"/>
      <c r="F59" s="82" t="s">
        <v>28</v>
      </c>
      <c r="G59" s="82">
        <v>2</v>
      </c>
      <c r="H59" s="82" t="s">
        <v>26</v>
      </c>
      <c r="I59" s="82">
        <f>I57</f>
        <v>556</v>
      </c>
      <c r="J59" s="88" t="s">
        <v>223</v>
      </c>
      <c r="K59" s="117">
        <v>2021</v>
      </c>
      <c r="L59" s="1"/>
      <c r="M59" s="1"/>
      <c r="N59" s="1"/>
      <c r="O59" s="1"/>
      <c r="P59" s="1"/>
    </row>
    <row r="60" spans="2:16" ht="14.25" customHeight="1" thickBot="1" x14ac:dyDescent="0.35">
      <c r="B60" s="1"/>
      <c r="C60" s="25"/>
      <c r="D60" s="1"/>
      <c r="E60" s="1"/>
      <c r="F60" s="82" t="s">
        <v>228</v>
      </c>
      <c r="G60" s="82">
        <v>1</v>
      </c>
      <c r="H60" s="82" t="s">
        <v>32</v>
      </c>
      <c r="I60" s="82">
        <v>92</v>
      </c>
      <c r="J60" s="88" t="s">
        <v>227</v>
      </c>
      <c r="K60" s="117">
        <v>2021</v>
      </c>
      <c r="L60" s="1"/>
      <c r="M60" s="1"/>
      <c r="N60" s="1"/>
      <c r="O60" s="1"/>
      <c r="P60" s="1"/>
    </row>
    <row r="61" spans="2:16" ht="14.25" customHeight="1" thickBot="1" x14ac:dyDescent="0.35">
      <c r="B61" s="1"/>
      <c r="C61" s="25"/>
      <c r="D61" s="1"/>
      <c r="E61" s="1"/>
      <c r="F61" s="82" t="s">
        <v>76</v>
      </c>
      <c r="G61" s="82">
        <v>2</v>
      </c>
      <c r="H61" s="82" t="s">
        <v>98</v>
      </c>
      <c r="I61" s="82">
        <v>35970</v>
      </c>
      <c r="J61" s="88" t="s">
        <v>224</v>
      </c>
      <c r="K61" s="118">
        <v>2021</v>
      </c>
      <c r="L61" s="1"/>
      <c r="M61" s="1"/>
      <c r="N61" s="1"/>
      <c r="O61" s="1"/>
      <c r="P61" s="1"/>
    </row>
    <row r="62" spans="2:16" ht="14.25" customHeight="1" thickBot="1" x14ac:dyDescent="0.35">
      <c r="B62" s="1"/>
      <c r="C62" s="25"/>
      <c r="D62" s="1"/>
      <c r="E62" s="1"/>
      <c r="F62" s="82" t="s">
        <v>31</v>
      </c>
      <c r="G62" s="108" t="s">
        <v>226</v>
      </c>
      <c r="H62" s="82" t="s">
        <v>32</v>
      </c>
      <c r="I62" s="82">
        <v>195</v>
      </c>
      <c r="J62" s="88" t="s">
        <v>227</v>
      </c>
      <c r="K62" s="98">
        <v>2021</v>
      </c>
      <c r="L62" s="1"/>
      <c r="M62" s="1"/>
      <c r="N62" s="1"/>
      <c r="O62" s="1"/>
      <c r="P62" s="1"/>
    </row>
    <row r="63" spans="2:16" ht="14.25" customHeight="1" thickBot="1" x14ac:dyDescent="0.35">
      <c r="B63" s="1"/>
      <c r="C63" s="25"/>
      <c r="D63" s="1"/>
      <c r="E63" s="1"/>
      <c r="F63" s="82" t="s">
        <v>122</v>
      </c>
      <c r="G63" s="108" t="s">
        <v>226</v>
      </c>
      <c r="H63" s="82" t="s">
        <v>32</v>
      </c>
      <c r="I63" s="82">
        <v>2</v>
      </c>
      <c r="J63" s="88" t="s">
        <v>227</v>
      </c>
      <c r="K63" s="98">
        <v>2021</v>
      </c>
      <c r="L63" s="1"/>
      <c r="M63" s="1"/>
      <c r="N63" s="1"/>
      <c r="O63" s="1"/>
      <c r="P63" s="1"/>
    </row>
    <row r="64" spans="2:16" ht="14.25" customHeight="1" thickBot="1" x14ac:dyDescent="0.35">
      <c r="B64" s="1"/>
      <c r="C64" s="25"/>
      <c r="D64" s="1"/>
      <c r="E64" s="1"/>
      <c r="F64" s="82" t="s">
        <v>33</v>
      </c>
      <c r="G64" s="108" t="s">
        <v>226</v>
      </c>
      <c r="H64" s="82" t="s">
        <v>32</v>
      </c>
      <c r="I64" s="82">
        <v>15</v>
      </c>
      <c r="J64" s="88" t="s">
        <v>227</v>
      </c>
      <c r="K64" s="118">
        <v>2021</v>
      </c>
      <c r="L64" s="1"/>
      <c r="M64" s="1"/>
      <c r="N64" s="1"/>
      <c r="O64" s="1"/>
      <c r="P64" s="1"/>
    </row>
    <row r="65" spans="2:16" ht="14.25" customHeight="1" thickBot="1" x14ac:dyDescent="0.35">
      <c r="B65" s="1"/>
      <c r="C65" s="25"/>
      <c r="D65" s="1"/>
      <c r="E65" s="1"/>
      <c r="F65" s="82" t="s">
        <v>34</v>
      </c>
      <c r="G65" s="108" t="s">
        <v>226</v>
      </c>
      <c r="H65" s="82" t="s">
        <v>32</v>
      </c>
      <c r="I65" s="82">
        <v>297</v>
      </c>
      <c r="J65" s="88" t="s">
        <v>227</v>
      </c>
      <c r="K65" s="98">
        <v>2021</v>
      </c>
      <c r="L65" s="1"/>
      <c r="M65" s="1"/>
      <c r="N65" s="1"/>
      <c r="O65" s="1"/>
      <c r="P65" s="1"/>
    </row>
    <row r="66" spans="2:16" ht="14.25" customHeight="1" thickBot="1" x14ac:dyDescent="0.35">
      <c r="B66" s="1"/>
      <c r="C66" s="25"/>
      <c r="D66" s="1"/>
      <c r="E66" s="1"/>
      <c r="F66" s="82" t="s">
        <v>35</v>
      </c>
      <c r="G66" s="108" t="s">
        <v>226</v>
      </c>
      <c r="H66" s="82" t="s">
        <v>32</v>
      </c>
      <c r="I66" s="82">
        <v>200</v>
      </c>
      <c r="J66" s="88" t="s">
        <v>227</v>
      </c>
      <c r="K66" s="118">
        <v>2021</v>
      </c>
      <c r="L66" s="1"/>
      <c r="M66" s="1"/>
      <c r="N66" s="1"/>
      <c r="O66" s="1"/>
      <c r="P66" s="1"/>
    </row>
    <row r="67" spans="2:16" ht="14.25" customHeight="1" thickBot="1" x14ac:dyDescent="0.35">
      <c r="B67" s="1"/>
      <c r="C67" s="25"/>
      <c r="D67" s="1"/>
      <c r="E67" s="1"/>
      <c r="F67" s="133" t="s">
        <v>36</v>
      </c>
      <c r="G67" s="137" t="s">
        <v>226</v>
      </c>
      <c r="H67" s="133" t="s">
        <v>32</v>
      </c>
      <c r="I67" s="133">
        <v>147</v>
      </c>
      <c r="J67" s="134" t="s">
        <v>227</v>
      </c>
      <c r="K67" s="138">
        <v>2021</v>
      </c>
      <c r="L67" s="1"/>
      <c r="M67" s="1"/>
      <c r="N67" s="1"/>
      <c r="O67" s="1"/>
      <c r="P67" s="1"/>
    </row>
    <row r="68" spans="2:16" ht="14.25" customHeight="1" thickTop="1" thickBot="1" x14ac:dyDescent="0.35">
      <c r="B68" s="1"/>
      <c r="C68" s="25"/>
      <c r="D68" s="1"/>
      <c r="E68" s="1"/>
      <c r="F68" s="86" t="s">
        <v>18</v>
      </c>
      <c r="G68" s="139">
        <v>1</v>
      </c>
      <c r="H68" s="139" t="s">
        <v>41</v>
      </c>
      <c r="I68" s="139">
        <v>2085</v>
      </c>
      <c r="J68" s="140" t="s">
        <v>215</v>
      </c>
      <c r="K68" s="117">
        <v>2022</v>
      </c>
      <c r="L68" s="1"/>
      <c r="M68" s="1"/>
      <c r="N68" s="1"/>
      <c r="O68" s="1"/>
      <c r="P68" s="1"/>
    </row>
    <row r="69" spans="2:16" ht="14.25" customHeight="1" thickBot="1" x14ac:dyDescent="0.35">
      <c r="B69" s="1"/>
      <c r="C69" s="25"/>
      <c r="D69" s="1"/>
      <c r="E69" s="1"/>
      <c r="F69" s="205" t="s">
        <v>42</v>
      </c>
      <c r="G69" s="206" t="s">
        <v>216</v>
      </c>
      <c r="H69" s="205" t="s">
        <v>41</v>
      </c>
      <c r="I69" s="205">
        <v>1964</v>
      </c>
      <c r="J69" s="140" t="s">
        <v>215</v>
      </c>
      <c r="K69" s="117">
        <v>2022</v>
      </c>
      <c r="L69" s="1"/>
      <c r="M69" s="1"/>
      <c r="N69" s="1"/>
      <c r="O69" s="1"/>
      <c r="P69" s="1"/>
    </row>
    <row r="70" spans="2:16" ht="14.25" customHeight="1" thickBot="1" x14ac:dyDescent="0.35">
      <c r="B70" s="1"/>
      <c r="C70" s="25"/>
      <c r="D70" s="1"/>
      <c r="E70" s="1"/>
      <c r="F70" s="205" t="s">
        <v>40</v>
      </c>
      <c r="G70" s="206" t="s">
        <v>216</v>
      </c>
      <c r="H70" s="205" t="s">
        <v>41</v>
      </c>
      <c r="I70" s="205">
        <v>1964</v>
      </c>
      <c r="J70" s="140" t="s">
        <v>215</v>
      </c>
      <c r="K70" s="117">
        <v>2022</v>
      </c>
      <c r="L70" s="1"/>
      <c r="M70" s="1"/>
      <c r="N70" s="1"/>
      <c r="O70" s="1"/>
      <c r="P70" s="1"/>
    </row>
    <row r="71" spans="2:16" ht="14.25" customHeight="1" thickBot="1" x14ac:dyDescent="0.35">
      <c r="B71" s="1"/>
      <c r="C71" s="25"/>
      <c r="D71" s="1"/>
      <c r="E71" s="1"/>
      <c r="F71" s="82" t="s">
        <v>70</v>
      </c>
      <c r="G71" s="82">
        <v>1</v>
      </c>
      <c r="H71" s="82" t="s">
        <v>21</v>
      </c>
      <c r="I71" s="82">
        <v>3262</v>
      </c>
      <c r="J71" s="88" t="s">
        <v>219</v>
      </c>
      <c r="K71" s="117">
        <v>2022</v>
      </c>
      <c r="L71" s="1"/>
      <c r="M71" s="1"/>
      <c r="N71" s="1"/>
      <c r="O71" s="1"/>
      <c r="P71" s="1"/>
    </row>
    <row r="72" spans="2:16" ht="14.25" customHeight="1" thickBot="1" x14ac:dyDescent="0.35">
      <c r="B72" s="1"/>
      <c r="C72" s="25"/>
      <c r="D72" s="1"/>
      <c r="E72" s="1"/>
      <c r="F72" s="82" t="s">
        <v>20</v>
      </c>
      <c r="G72" s="82">
        <v>1</v>
      </c>
      <c r="H72" s="82" t="s">
        <v>21</v>
      </c>
      <c r="I72" s="82">
        <v>3262</v>
      </c>
      <c r="J72" s="88" t="s">
        <v>219</v>
      </c>
      <c r="K72" s="117">
        <v>2022</v>
      </c>
      <c r="L72" s="1"/>
      <c r="M72" s="1"/>
      <c r="N72" s="1"/>
      <c r="O72" s="1"/>
      <c r="P72" s="1"/>
    </row>
    <row r="73" spans="2:16" ht="14.25" customHeight="1" thickBot="1" x14ac:dyDescent="0.35">
      <c r="B73" s="1"/>
      <c r="C73" s="25"/>
      <c r="D73" s="1"/>
      <c r="E73" s="1"/>
      <c r="F73" s="82" t="s">
        <v>22</v>
      </c>
      <c r="G73" s="82">
        <v>1</v>
      </c>
      <c r="H73" s="82" t="s">
        <v>21</v>
      </c>
      <c r="I73" s="82">
        <v>2784</v>
      </c>
      <c r="J73" s="88" t="s">
        <v>219</v>
      </c>
      <c r="K73" s="117">
        <v>2022</v>
      </c>
      <c r="L73" s="1"/>
      <c r="M73" s="1"/>
      <c r="N73" s="1"/>
      <c r="O73" s="1"/>
      <c r="P73" s="1"/>
    </row>
    <row r="74" spans="2:16" ht="14.25" customHeight="1" thickBot="1" x14ac:dyDescent="0.35">
      <c r="B74" s="1"/>
      <c r="C74" s="25"/>
      <c r="D74" s="1"/>
      <c r="E74" s="1"/>
      <c r="F74" s="82" t="s">
        <v>220</v>
      </c>
      <c r="G74" s="82">
        <v>1</v>
      </c>
      <c r="H74" s="82" t="s">
        <v>21</v>
      </c>
      <c r="I74" s="82">
        <v>314</v>
      </c>
      <c r="J74" s="88" t="s">
        <v>219</v>
      </c>
      <c r="K74" s="117">
        <v>2022</v>
      </c>
      <c r="L74" s="1"/>
      <c r="M74" s="1"/>
      <c r="N74" s="1"/>
      <c r="O74" s="1"/>
      <c r="P74" s="1"/>
    </row>
    <row r="75" spans="2:16" ht="14.25" customHeight="1" thickBot="1" x14ac:dyDescent="0.35">
      <c r="B75" s="1"/>
      <c r="C75" s="25"/>
      <c r="D75" s="1"/>
      <c r="E75" s="1"/>
      <c r="F75" s="82" t="s">
        <v>221</v>
      </c>
      <c r="G75" s="82">
        <v>1</v>
      </c>
      <c r="H75" s="82" t="s">
        <v>21</v>
      </c>
      <c r="I75" s="82">
        <v>1798</v>
      </c>
      <c r="J75" s="88" t="s">
        <v>219</v>
      </c>
      <c r="K75" s="117">
        <v>2022</v>
      </c>
      <c r="L75" s="1"/>
      <c r="M75" s="1"/>
      <c r="N75" s="1"/>
      <c r="O75" s="1"/>
      <c r="P75" s="1"/>
    </row>
    <row r="76" spans="2:16" ht="14.25" customHeight="1" thickBot="1" x14ac:dyDescent="0.35">
      <c r="B76" s="1"/>
      <c r="C76" s="25"/>
      <c r="D76" s="1"/>
      <c r="E76" s="1"/>
      <c r="F76" s="82" t="s">
        <v>222</v>
      </c>
      <c r="G76" s="82">
        <v>1</v>
      </c>
      <c r="H76" s="82" t="s">
        <v>190</v>
      </c>
      <c r="I76" s="82">
        <v>2633</v>
      </c>
      <c r="J76" s="88" t="s">
        <v>218</v>
      </c>
      <c r="K76" s="117">
        <v>2022</v>
      </c>
      <c r="L76" s="1"/>
      <c r="M76" s="1"/>
      <c r="N76" s="1"/>
      <c r="O76" s="1"/>
      <c r="P76" s="1"/>
    </row>
    <row r="77" spans="2:16" ht="14.25" customHeight="1" thickBot="1" x14ac:dyDescent="0.35">
      <c r="B77" s="1"/>
      <c r="C77" s="25"/>
      <c r="D77" s="1"/>
      <c r="E77" s="1"/>
      <c r="F77" s="82" t="s">
        <v>25</v>
      </c>
      <c r="G77" s="82">
        <v>2</v>
      </c>
      <c r="H77" s="82" t="s">
        <v>26</v>
      </c>
      <c r="I77" s="82">
        <v>523</v>
      </c>
      <c r="J77" s="88" t="s">
        <v>223</v>
      </c>
      <c r="K77" s="117">
        <v>2022</v>
      </c>
      <c r="L77" s="1"/>
      <c r="M77" s="1"/>
      <c r="N77" s="1"/>
      <c r="O77" s="1"/>
      <c r="P77" s="1"/>
    </row>
    <row r="78" spans="2:16" ht="14.25" customHeight="1" thickBot="1" x14ac:dyDescent="0.35">
      <c r="B78" s="1"/>
      <c r="C78" s="25"/>
      <c r="D78" s="1"/>
      <c r="E78" s="1"/>
      <c r="F78" s="82" t="s">
        <v>27</v>
      </c>
      <c r="G78" s="82">
        <v>2</v>
      </c>
      <c r="H78" s="82" t="s">
        <v>26</v>
      </c>
      <c r="I78" s="82">
        <v>0</v>
      </c>
      <c r="J78" s="88" t="s">
        <v>223</v>
      </c>
      <c r="K78" s="117">
        <v>2022</v>
      </c>
      <c r="L78" s="1"/>
      <c r="M78" s="1"/>
      <c r="N78" s="1"/>
      <c r="O78" s="1"/>
      <c r="P78" s="1"/>
    </row>
    <row r="79" spans="2:16" ht="14.25" customHeight="1" thickBot="1" x14ac:dyDescent="0.35">
      <c r="B79" s="1"/>
      <c r="C79" s="25"/>
      <c r="D79" s="1"/>
      <c r="E79" s="1"/>
      <c r="F79" s="82" t="s">
        <v>28</v>
      </c>
      <c r="G79" s="82">
        <v>2</v>
      </c>
      <c r="H79" s="82" t="s">
        <v>26</v>
      </c>
      <c r="I79" s="82">
        <f>I77</f>
        <v>523</v>
      </c>
      <c r="J79" s="88" t="s">
        <v>223</v>
      </c>
      <c r="K79" s="117">
        <v>2022</v>
      </c>
      <c r="L79" s="1"/>
      <c r="M79" s="1"/>
      <c r="N79" s="1"/>
      <c r="O79" s="1"/>
      <c r="P79" s="1"/>
    </row>
    <row r="80" spans="2:16" ht="14.25" customHeight="1" thickBot="1" x14ac:dyDescent="0.35">
      <c r="B80" s="1"/>
      <c r="C80" s="25"/>
      <c r="D80" s="1"/>
      <c r="E80" s="1"/>
      <c r="F80" s="82" t="s">
        <v>152</v>
      </c>
      <c r="G80" s="82">
        <v>1</v>
      </c>
      <c r="H80" s="82" t="s">
        <v>32</v>
      </c>
      <c r="I80" s="82">
        <v>0</v>
      </c>
      <c r="J80" s="88" t="s">
        <v>227</v>
      </c>
      <c r="K80" s="98">
        <v>2022</v>
      </c>
      <c r="L80" s="1"/>
      <c r="M80" s="1"/>
      <c r="N80" s="1"/>
      <c r="O80" s="1"/>
      <c r="P80" s="1"/>
    </row>
    <row r="81" spans="2:16" ht="14.25" customHeight="1" thickBot="1" x14ac:dyDescent="0.35">
      <c r="B81" s="1"/>
      <c r="C81" s="25"/>
      <c r="D81" s="1"/>
      <c r="E81" s="1"/>
      <c r="F81" s="82" t="s">
        <v>76</v>
      </c>
      <c r="G81" s="82">
        <v>2</v>
      </c>
      <c r="H81" s="82" t="s">
        <v>98</v>
      </c>
      <c r="I81" s="82">
        <v>26840</v>
      </c>
      <c r="J81" s="88" t="s">
        <v>224</v>
      </c>
      <c r="K81" s="117">
        <v>2022</v>
      </c>
      <c r="L81" s="1"/>
      <c r="M81" s="1"/>
      <c r="N81" s="1"/>
      <c r="O81" s="1"/>
      <c r="P81" s="1"/>
    </row>
    <row r="82" spans="2:16" ht="14.25" customHeight="1" thickBot="1" x14ac:dyDescent="0.35">
      <c r="B82" s="1"/>
      <c r="C82" s="25"/>
      <c r="D82" s="1"/>
      <c r="E82" s="1"/>
      <c r="F82" s="82" t="s">
        <v>31</v>
      </c>
      <c r="G82" s="108" t="s">
        <v>226</v>
      </c>
      <c r="H82" s="82" t="s">
        <v>32</v>
      </c>
      <c r="I82" s="82">
        <v>193</v>
      </c>
      <c r="J82" s="88" t="s">
        <v>227</v>
      </c>
      <c r="K82" s="117">
        <v>2022</v>
      </c>
      <c r="L82" s="1"/>
      <c r="M82" s="1"/>
      <c r="N82" s="1"/>
      <c r="O82" s="1"/>
      <c r="P82" s="1"/>
    </row>
    <row r="83" spans="2:16" ht="14.25" customHeight="1" thickBot="1" x14ac:dyDescent="0.35">
      <c r="B83" s="1"/>
      <c r="C83" s="25"/>
      <c r="D83" s="1"/>
      <c r="E83" s="1"/>
      <c r="F83" s="82" t="s">
        <v>33</v>
      </c>
      <c r="G83" s="108" t="s">
        <v>226</v>
      </c>
      <c r="H83" s="82" t="s">
        <v>32</v>
      </c>
      <c r="I83" s="82">
        <v>15</v>
      </c>
      <c r="J83" s="88" t="s">
        <v>227</v>
      </c>
      <c r="K83" s="117">
        <v>2022</v>
      </c>
      <c r="L83" s="1"/>
      <c r="M83" s="1"/>
      <c r="N83" s="1"/>
      <c r="O83" s="1"/>
      <c r="P83" s="1"/>
    </row>
    <row r="84" spans="2:16" ht="14.25" customHeight="1" thickBot="1" x14ac:dyDescent="0.35">
      <c r="B84" s="1"/>
      <c r="C84" s="25"/>
      <c r="D84" s="1"/>
      <c r="E84" s="1"/>
      <c r="F84" s="82" t="s">
        <v>34</v>
      </c>
      <c r="G84" s="108" t="s">
        <v>226</v>
      </c>
      <c r="H84" s="82" t="s">
        <v>32</v>
      </c>
      <c r="I84" s="82">
        <v>234</v>
      </c>
      <c r="J84" s="88" t="s">
        <v>227</v>
      </c>
      <c r="K84" s="117">
        <v>2022</v>
      </c>
      <c r="L84" s="1"/>
      <c r="M84" s="1"/>
      <c r="N84" s="1"/>
      <c r="O84" s="1"/>
      <c r="P84" s="1"/>
    </row>
    <row r="85" spans="2:16" ht="14.25" customHeight="1" thickBot="1" x14ac:dyDescent="0.35">
      <c r="B85" s="1"/>
      <c r="C85" s="25"/>
      <c r="D85" s="1"/>
      <c r="E85" s="1"/>
      <c r="F85" s="82" t="s">
        <v>35</v>
      </c>
      <c r="G85" s="108" t="s">
        <v>226</v>
      </c>
      <c r="H85" s="82" t="s">
        <v>32</v>
      </c>
      <c r="I85" s="82">
        <v>172</v>
      </c>
      <c r="J85" s="88" t="s">
        <v>227</v>
      </c>
      <c r="K85" s="117">
        <v>2022</v>
      </c>
      <c r="L85" s="1"/>
      <c r="M85" s="1"/>
      <c r="N85" s="1"/>
      <c r="O85" s="1"/>
      <c r="P85" s="1"/>
    </row>
    <row r="86" spans="2:16" ht="14.25" customHeight="1" thickBot="1" x14ac:dyDescent="0.35">
      <c r="B86" s="1"/>
      <c r="C86" s="25"/>
      <c r="D86" s="1"/>
      <c r="E86" s="1"/>
      <c r="F86" s="133" t="s">
        <v>36</v>
      </c>
      <c r="G86" s="137" t="s">
        <v>226</v>
      </c>
      <c r="H86" s="133" t="s">
        <v>32</v>
      </c>
      <c r="I86" s="133">
        <v>157</v>
      </c>
      <c r="J86" s="134" t="s">
        <v>227</v>
      </c>
      <c r="K86" s="117">
        <v>2022</v>
      </c>
      <c r="L86" s="1"/>
      <c r="M86" s="1"/>
      <c r="N86" s="1"/>
      <c r="O86" s="1"/>
      <c r="P86" s="1"/>
    </row>
    <row r="87" spans="2:16" ht="14.25" customHeight="1" thickTop="1" thickBot="1" x14ac:dyDescent="0.35">
      <c r="B87" s="1"/>
      <c r="C87" s="25"/>
      <c r="D87" s="1"/>
      <c r="E87" s="1"/>
      <c r="F87" s="86" t="s">
        <v>18</v>
      </c>
      <c r="G87" s="139">
        <v>1</v>
      </c>
      <c r="H87" s="139" t="s">
        <v>41</v>
      </c>
      <c r="I87" s="139">
        <v>2079</v>
      </c>
      <c r="J87" s="140" t="s">
        <v>215</v>
      </c>
      <c r="K87" s="117">
        <v>2023</v>
      </c>
      <c r="L87" s="1"/>
      <c r="M87" s="1"/>
      <c r="N87" s="1"/>
      <c r="O87" s="1"/>
      <c r="P87" s="1"/>
    </row>
    <row r="88" spans="2:16" ht="14.25" customHeight="1" thickBot="1" x14ac:dyDescent="0.35">
      <c r="B88" s="1"/>
      <c r="C88" s="25"/>
      <c r="D88" s="1"/>
      <c r="E88" s="1"/>
      <c r="F88" s="82" t="s">
        <v>70</v>
      </c>
      <c r="G88" s="82">
        <v>1</v>
      </c>
      <c r="H88" s="82" t="s">
        <v>21</v>
      </c>
      <c r="I88" s="82">
        <v>3256</v>
      </c>
      <c r="J88" s="88" t="s">
        <v>219</v>
      </c>
      <c r="K88" s="117">
        <v>2023</v>
      </c>
      <c r="L88" s="1"/>
      <c r="M88" s="1"/>
      <c r="N88" s="1"/>
      <c r="O88" s="1"/>
      <c r="P88" s="1"/>
    </row>
    <row r="89" spans="2:16" ht="14.25" customHeight="1" thickBot="1" x14ac:dyDescent="0.35">
      <c r="B89" s="1"/>
      <c r="C89" s="25"/>
      <c r="D89" s="1"/>
      <c r="E89" s="1"/>
      <c r="F89" s="82" t="s">
        <v>20</v>
      </c>
      <c r="G89" s="82">
        <v>1</v>
      </c>
      <c r="H89" s="82" t="s">
        <v>21</v>
      </c>
      <c r="I89" s="82">
        <v>3256</v>
      </c>
      <c r="J89" s="88" t="s">
        <v>219</v>
      </c>
      <c r="K89" s="117">
        <v>2023</v>
      </c>
      <c r="L89" s="1"/>
      <c r="M89" s="1"/>
      <c r="N89" s="1"/>
      <c r="O89" s="1"/>
      <c r="P89" s="1"/>
    </row>
    <row r="90" spans="2:16" ht="14.25" customHeight="1" thickBot="1" x14ac:dyDescent="0.35">
      <c r="B90" s="1"/>
      <c r="C90" s="25"/>
      <c r="D90" s="1"/>
      <c r="E90" s="1"/>
      <c r="F90" s="82" t="s">
        <v>22</v>
      </c>
      <c r="G90" s="82">
        <v>1</v>
      </c>
      <c r="H90" s="82" t="s">
        <v>21</v>
      </c>
      <c r="I90" s="82">
        <v>2821</v>
      </c>
      <c r="J90" s="88" t="s">
        <v>219</v>
      </c>
      <c r="K90" s="117">
        <v>2023</v>
      </c>
      <c r="L90" s="1"/>
      <c r="M90" s="1"/>
      <c r="N90" s="1"/>
      <c r="O90" s="1"/>
      <c r="P90" s="1"/>
    </row>
    <row r="91" spans="2:16" ht="14.25" customHeight="1" thickBot="1" x14ac:dyDescent="0.35">
      <c r="B91" s="1"/>
      <c r="C91" s="25"/>
      <c r="D91" s="1"/>
      <c r="E91" s="1"/>
      <c r="F91" s="82" t="s">
        <v>220</v>
      </c>
      <c r="G91" s="82">
        <v>1</v>
      </c>
      <c r="H91" s="82" t="s">
        <v>21</v>
      </c>
      <c r="I91" s="82">
        <v>347</v>
      </c>
      <c r="J91" s="88" t="s">
        <v>219</v>
      </c>
      <c r="K91" s="117">
        <v>2023</v>
      </c>
      <c r="L91" s="1"/>
      <c r="M91" s="1"/>
      <c r="N91" s="1"/>
      <c r="O91" s="1"/>
      <c r="P91" s="1"/>
    </row>
    <row r="92" spans="2:16" ht="14.25" customHeight="1" thickBot="1" x14ac:dyDescent="0.35">
      <c r="B92" s="1"/>
      <c r="C92" s="25"/>
      <c r="D92" s="1"/>
      <c r="E92" s="1"/>
      <c r="F92" s="82" t="s">
        <v>221</v>
      </c>
      <c r="G92" s="82">
        <v>1</v>
      </c>
      <c r="H92" s="82" t="s">
        <v>21</v>
      </c>
      <c r="I92" s="82">
        <v>1802</v>
      </c>
      <c r="J92" s="88" t="s">
        <v>219</v>
      </c>
      <c r="K92" s="117">
        <v>2023</v>
      </c>
      <c r="L92" s="1"/>
      <c r="M92" s="1"/>
      <c r="N92" s="1"/>
      <c r="O92" s="1"/>
      <c r="P92" s="1"/>
    </row>
    <row r="93" spans="2:16" ht="14.25" customHeight="1" thickBot="1" x14ac:dyDescent="0.35">
      <c r="B93" s="1"/>
      <c r="C93" s="25"/>
      <c r="D93" s="1"/>
      <c r="E93" s="1"/>
      <c r="F93" s="82" t="s">
        <v>222</v>
      </c>
      <c r="G93" s="82">
        <v>1</v>
      </c>
      <c r="H93" s="82" t="s">
        <v>190</v>
      </c>
      <c r="I93" s="82">
        <v>2608</v>
      </c>
      <c r="J93" s="88" t="s">
        <v>218</v>
      </c>
      <c r="K93" s="117">
        <v>2023</v>
      </c>
      <c r="L93" s="1"/>
      <c r="M93" s="1"/>
      <c r="N93" s="1"/>
      <c r="O93" s="1"/>
      <c r="P93" s="1"/>
    </row>
    <row r="94" spans="2:16" ht="14.25" customHeight="1" thickBot="1" x14ac:dyDescent="0.35">
      <c r="B94" s="1"/>
      <c r="C94" s="25"/>
      <c r="D94" s="1"/>
      <c r="E94" s="1"/>
      <c r="F94" s="82" t="s">
        <v>25</v>
      </c>
      <c r="G94" s="82">
        <v>2</v>
      </c>
      <c r="H94" s="82" t="s">
        <v>26</v>
      </c>
      <c r="I94" s="82">
        <v>456</v>
      </c>
      <c r="J94" s="88" t="s">
        <v>223</v>
      </c>
      <c r="K94" s="117">
        <v>2023</v>
      </c>
      <c r="L94" s="1"/>
      <c r="M94" s="1"/>
      <c r="N94" s="1"/>
      <c r="O94" s="1"/>
      <c r="P94" s="1"/>
    </row>
    <row r="95" spans="2:16" ht="14.25" customHeight="1" thickBot="1" x14ac:dyDescent="0.35">
      <c r="B95" s="1"/>
      <c r="C95" s="25"/>
      <c r="D95" s="1"/>
      <c r="E95" s="1"/>
      <c r="F95" s="82" t="s">
        <v>27</v>
      </c>
      <c r="G95" s="82">
        <v>2</v>
      </c>
      <c r="H95" s="82" t="s">
        <v>26</v>
      </c>
      <c r="I95" s="82">
        <v>0</v>
      </c>
      <c r="J95" s="88" t="s">
        <v>223</v>
      </c>
      <c r="K95" s="117">
        <v>2023</v>
      </c>
      <c r="L95" s="1"/>
      <c r="M95" s="1"/>
      <c r="N95" s="1"/>
      <c r="O95" s="1"/>
      <c r="P95" s="1"/>
    </row>
    <row r="96" spans="2:16" ht="14.25" customHeight="1" thickBot="1" x14ac:dyDescent="0.35">
      <c r="B96" s="1"/>
      <c r="C96" s="25"/>
      <c r="D96" s="1"/>
      <c r="E96" s="1"/>
      <c r="F96" s="82" t="s">
        <v>28</v>
      </c>
      <c r="G96" s="82">
        <v>2</v>
      </c>
      <c r="H96" s="82" t="s">
        <v>26</v>
      </c>
      <c r="I96" s="82">
        <f>I94</f>
        <v>456</v>
      </c>
      <c r="J96" s="88" t="s">
        <v>223</v>
      </c>
      <c r="K96" s="117">
        <v>2023</v>
      </c>
      <c r="L96" s="1"/>
      <c r="M96" s="1"/>
      <c r="N96" s="1"/>
      <c r="O96" s="1"/>
      <c r="P96" s="1"/>
    </row>
    <row r="97" spans="2:16" ht="14.25" customHeight="1" thickBot="1" x14ac:dyDescent="0.35">
      <c r="B97" s="1"/>
      <c r="C97" s="25"/>
      <c r="D97" s="1"/>
      <c r="E97" s="1"/>
      <c r="F97" s="82" t="s">
        <v>76</v>
      </c>
      <c r="G97" s="82">
        <v>2</v>
      </c>
      <c r="H97" s="82" t="s">
        <v>98</v>
      </c>
      <c r="I97" s="82">
        <v>25370</v>
      </c>
      <c r="J97" s="88" t="s">
        <v>224</v>
      </c>
      <c r="K97" s="117">
        <v>2023</v>
      </c>
      <c r="L97" s="1"/>
      <c r="M97" s="1"/>
      <c r="N97" s="1"/>
      <c r="O97" s="1"/>
      <c r="P97" s="1"/>
    </row>
    <row r="98" spans="2:16" ht="14.25" customHeight="1" thickBot="1" x14ac:dyDescent="0.35">
      <c r="B98" s="1"/>
      <c r="C98" s="25"/>
      <c r="D98" s="1"/>
      <c r="E98" s="1"/>
      <c r="F98" s="82" t="s">
        <v>31</v>
      </c>
      <c r="G98" s="108" t="s">
        <v>226</v>
      </c>
      <c r="H98" s="82" t="s">
        <v>32</v>
      </c>
      <c r="I98" s="82">
        <v>193</v>
      </c>
      <c r="J98" s="88" t="s">
        <v>227</v>
      </c>
      <c r="K98" s="117">
        <v>2023</v>
      </c>
      <c r="L98" s="1"/>
      <c r="M98" s="1"/>
      <c r="N98" s="1"/>
      <c r="O98" s="1"/>
      <c r="P98" s="1"/>
    </row>
    <row r="99" spans="2:16" ht="14.25" customHeight="1" thickBot="1" x14ac:dyDescent="0.35">
      <c r="B99" s="1"/>
      <c r="C99" s="25"/>
      <c r="D99" s="1"/>
      <c r="E99" s="1"/>
      <c r="F99" s="82" t="s">
        <v>33</v>
      </c>
      <c r="G99" s="108" t="s">
        <v>226</v>
      </c>
      <c r="H99" s="82" t="s">
        <v>32</v>
      </c>
      <c r="I99" s="82">
        <v>20</v>
      </c>
      <c r="J99" s="88" t="s">
        <v>227</v>
      </c>
      <c r="K99" s="117">
        <v>2023</v>
      </c>
      <c r="L99" s="1"/>
      <c r="M99" s="1"/>
      <c r="N99" s="1"/>
      <c r="O99" s="1"/>
      <c r="P99" s="1"/>
    </row>
    <row r="100" spans="2:16" ht="14.25" customHeight="1" thickBot="1" x14ac:dyDescent="0.35">
      <c r="B100" s="1"/>
      <c r="C100" s="25"/>
      <c r="D100" s="1"/>
      <c r="E100" s="1"/>
      <c r="F100" s="82" t="s">
        <v>34</v>
      </c>
      <c r="G100" s="108" t="s">
        <v>226</v>
      </c>
      <c r="H100" s="82" t="s">
        <v>32</v>
      </c>
      <c r="I100" s="82">
        <v>234</v>
      </c>
      <c r="J100" s="88" t="s">
        <v>227</v>
      </c>
      <c r="K100" s="117">
        <v>2023</v>
      </c>
      <c r="L100" s="1"/>
      <c r="M100" s="1"/>
      <c r="N100" s="1"/>
      <c r="O100" s="1"/>
      <c r="P100" s="1"/>
    </row>
    <row r="101" spans="2:16" ht="14.25" customHeight="1" thickBot="1" x14ac:dyDescent="0.35">
      <c r="B101" s="1"/>
      <c r="C101" s="25"/>
      <c r="D101" s="1"/>
      <c r="E101" s="1"/>
      <c r="F101" s="82" t="s">
        <v>35</v>
      </c>
      <c r="G101" s="108" t="s">
        <v>226</v>
      </c>
      <c r="H101" s="82" t="s">
        <v>32</v>
      </c>
      <c r="I101" s="82">
        <v>172</v>
      </c>
      <c r="J101" s="88" t="s">
        <v>227</v>
      </c>
      <c r="K101" s="117">
        <v>2023</v>
      </c>
      <c r="L101" s="1"/>
      <c r="M101" s="1"/>
      <c r="N101" s="1"/>
      <c r="O101" s="1"/>
      <c r="P101" s="1"/>
    </row>
    <row r="102" spans="2:16" ht="14.25" customHeight="1" thickBot="1" x14ac:dyDescent="0.35">
      <c r="B102" s="1"/>
      <c r="C102" s="25"/>
      <c r="D102" s="1"/>
      <c r="E102" s="1"/>
      <c r="F102" s="133" t="s">
        <v>36</v>
      </c>
      <c r="G102" s="137" t="s">
        <v>226</v>
      </c>
      <c r="H102" s="133" t="s">
        <v>32</v>
      </c>
      <c r="I102" s="133">
        <v>157</v>
      </c>
      <c r="J102" s="134" t="s">
        <v>227</v>
      </c>
      <c r="K102" s="117">
        <v>2023</v>
      </c>
      <c r="L102" s="1"/>
      <c r="M102" s="1"/>
      <c r="N102" s="1"/>
      <c r="O102" s="1"/>
      <c r="P102" s="1"/>
    </row>
    <row r="103" spans="2:16" ht="15" customHeight="1" thickBot="1" x14ac:dyDescent="0.35">
      <c r="F103" s="205" t="s">
        <v>42</v>
      </c>
      <c r="G103" s="206" t="s">
        <v>216</v>
      </c>
      <c r="H103" s="205" t="s">
        <v>41</v>
      </c>
      <c r="I103" s="205">
        <v>1964</v>
      </c>
      <c r="J103" s="140" t="s">
        <v>215</v>
      </c>
      <c r="K103" s="117">
        <v>2023</v>
      </c>
    </row>
    <row r="104" spans="2:16" ht="15" customHeight="1" x14ac:dyDescent="0.3">
      <c r="F104" s="280" t="s">
        <v>40</v>
      </c>
      <c r="G104" s="281" t="s">
        <v>216</v>
      </c>
      <c r="H104" s="280" t="s">
        <v>41</v>
      </c>
      <c r="I104" s="280">
        <v>1964</v>
      </c>
      <c r="J104" s="282" t="s">
        <v>215</v>
      </c>
      <c r="K104" s="283">
        <v>2023</v>
      </c>
    </row>
    <row r="105" spans="2:16" ht="15" customHeight="1" thickBot="1" x14ac:dyDescent="0.35">
      <c r="F105" s="139" t="s">
        <v>18</v>
      </c>
      <c r="G105" s="139">
        <v>1</v>
      </c>
      <c r="H105" s="139" t="s">
        <v>41</v>
      </c>
      <c r="I105" s="139">
        <v>2134</v>
      </c>
      <c r="J105" s="140" t="s">
        <v>215</v>
      </c>
      <c r="K105" s="117">
        <v>2024</v>
      </c>
    </row>
    <row r="106" spans="2:16" ht="15" customHeight="1" thickBot="1" x14ac:dyDescent="0.35">
      <c r="F106" s="82" t="s">
        <v>70</v>
      </c>
      <c r="G106" s="82">
        <v>1</v>
      </c>
      <c r="H106" s="82" t="s">
        <v>21</v>
      </c>
      <c r="I106" s="82">
        <v>3256</v>
      </c>
      <c r="J106" s="88" t="s">
        <v>219</v>
      </c>
      <c r="K106" s="117">
        <v>2024</v>
      </c>
    </row>
    <row r="107" spans="2:16" ht="15" customHeight="1" thickBot="1" x14ac:dyDescent="0.35">
      <c r="F107" s="82" t="s">
        <v>20</v>
      </c>
      <c r="G107" s="82">
        <v>1</v>
      </c>
      <c r="H107" s="82" t="s">
        <v>21</v>
      </c>
      <c r="I107" s="82">
        <v>3256</v>
      </c>
      <c r="J107" s="88" t="s">
        <v>219</v>
      </c>
      <c r="K107" s="117">
        <v>2024</v>
      </c>
    </row>
    <row r="108" spans="2:16" ht="15" customHeight="1" thickBot="1" x14ac:dyDescent="0.35">
      <c r="F108" s="82" t="s">
        <v>22</v>
      </c>
      <c r="G108" s="82">
        <v>1</v>
      </c>
      <c r="H108" s="82" t="s">
        <v>21</v>
      </c>
      <c r="I108" s="82">
        <v>2821</v>
      </c>
      <c r="J108" s="88" t="s">
        <v>219</v>
      </c>
      <c r="K108" s="117">
        <v>2024</v>
      </c>
    </row>
    <row r="109" spans="2:16" ht="15" customHeight="1" thickBot="1" x14ac:dyDescent="0.35">
      <c r="F109" s="82" t="s">
        <v>229</v>
      </c>
      <c r="G109" s="82">
        <v>1</v>
      </c>
      <c r="H109" s="82" t="s">
        <v>21</v>
      </c>
      <c r="I109" s="82">
        <v>347</v>
      </c>
      <c r="J109" s="88" t="s">
        <v>219</v>
      </c>
      <c r="K109" s="117">
        <v>2024</v>
      </c>
    </row>
    <row r="110" spans="2:16" ht="15" customHeight="1" thickBot="1" x14ac:dyDescent="0.35">
      <c r="F110" s="82" t="s">
        <v>230</v>
      </c>
      <c r="G110" s="82">
        <v>1</v>
      </c>
      <c r="H110" s="82" t="s">
        <v>21</v>
      </c>
      <c r="I110" s="284">
        <v>2843.8</v>
      </c>
      <c r="J110" s="88" t="s">
        <v>219</v>
      </c>
      <c r="K110" s="117">
        <v>2024</v>
      </c>
    </row>
    <row r="111" spans="2:16" ht="15" customHeight="1" thickBot="1" x14ac:dyDescent="0.35">
      <c r="F111" s="82" t="s">
        <v>231</v>
      </c>
      <c r="G111" s="82">
        <v>1</v>
      </c>
      <c r="H111" s="82" t="s">
        <v>21</v>
      </c>
      <c r="I111" s="284">
        <v>1907.5</v>
      </c>
      <c r="J111" s="88" t="s">
        <v>219</v>
      </c>
      <c r="K111" s="117">
        <v>2024</v>
      </c>
    </row>
    <row r="112" spans="2:16" ht="15" customHeight="1" thickBot="1" x14ac:dyDescent="0.35">
      <c r="F112" s="82" t="s">
        <v>74</v>
      </c>
      <c r="G112" s="82">
        <v>1</v>
      </c>
      <c r="H112" s="82" t="s">
        <v>21</v>
      </c>
      <c r="I112" s="82">
        <v>1802</v>
      </c>
      <c r="J112" s="88" t="s">
        <v>219</v>
      </c>
      <c r="K112" s="117">
        <v>2024</v>
      </c>
    </row>
    <row r="113" spans="6:11" ht="15" customHeight="1" thickBot="1" x14ac:dyDescent="0.35">
      <c r="F113" s="82" t="s">
        <v>75</v>
      </c>
      <c r="G113" s="82">
        <v>1</v>
      </c>
      <c r="H113" s="82" t="s">
        <v>190</v>
      </c>
      <c r="I113" s="82">
        <v>2608</v>
      </c>
      <c r="J113" s="88" t="s">
        <v>218</v>
      </c>
      <c r="K113" s="117">
        <v>2024</v>
      </c>
    </row>
    <row r="114" spans="6:11" ht="15" customHeight="1" thickBot="1" x14ac:dyDescent="0.35">
      <c r="F114" s="82" t="s">
        <v>232</v>
      </c>
      <c r="G114" s="82">
        <v>1</v>
      </c>
      <c r="H114" s="82" t="s">
        <v>190</v>
      </c>
      <c r="I114" s="82">
        <v>12516</v>
      </c>
      <c r="J114" s="88" t="s">
        <v>218</v>
      </c>
      <c r="K114" s="117">
        <v>2024</v>
      </c>
    </row>
    <row r="115" spans="6:11" ht="15" customHeight="1" thickBot="1" x14ac:dyDescent="0.35">
      <c r="F115" s="82" t="s">
        <v>233</v>
      </c>
      <c r="G115" s="82">
        <v>1</v>
      </c>
      <c r="H115" s="82" t="s">
        <v>190</v>
      </c>
      <c r="I115" s="82">
        <v>1140</v>
      </c>
      <c r="J115" s="88" t="s">
        <v>218</v>
      </c>
      <c r="K115" s="117">
        <v>2024</v>
      </c>
    </row>
    <row r="116" spans="6:11" ht="15" customHeight="1" thickBot="1" x14ac:dyDescent="0.35">
      <c r="F116" s="280" t="s">
        <v>234</v>
      </c>
      <c r="G116" s="281">
        <v>1</v>
      </c>
      <c r="H116" s="280" t="s">
        <v>21</v>
      </c>
      <c r="I116" s="280">
        <v>1725</v>
      </c>
      <c r="J116" s="88" t="s">
        <v>219</v>
      </c>
      <c r="K116" s="117">
        <v>2024</v>
      </c>
    </row>
    <row r="117" spans="6:11" ht="15" customHeight="1" thickBot="1" x14ac:dyDescent="0.35">
      <c r="F117" s="82" t="s">
        <v>25</v>
      </c>
      <c r="G117" s="82">
        <v>2</v>
      </c>
      <c r="H117" s="82" t="s">
        <v>26</v>
      </c>
      <c r="I117" s="82">
        <v>536</v>
      </c>
      <c r="J117" s="88" t="s">
        <v>223</v>
      </c>
      <c r="K117" s="117">
        <v>2024</v>
      </c>
    </row>
    <row r="118" spans="6:11" ht="15" customHeight="1" thickBot="1" x14ac:dyDescent="0.35">
      <c r="F118" s="82" t="s">
        <v>27</v>
      </c>
      <c r="G118" s="82">
        <v>2</v>
      </c>
      <c r="H118" s="82" t="s">
        <v>26</v>
      </c>
      <c r="I118" s="82">
        <v>0</v>
      </c>
      <c r="J118" s="88" t="s">
        <v>223</v>
      </c>
      <c r="K118" s="117">
        <v>2024</v>
      </c>
    </row>
    <row r="119" spans="6:11" ht="15" customHeight="1" thickBot="1" x14ac:dyDescent="0.35">
      <c r="F119" s="82" t="s">
        <v>28</v>
      </c>
      <c r="G119" s="82">
        <v>2</v>
      </c>
      <c r="H119" s="82" t="s">
        <v>26</v>
      </c>
      <c r="I119" s="82">
        <f>I117</f>
        <v>536</v>
      </c>
      <c r="J119" s="88" t="s">
        <v>223</v>
      </c>
      <c r="K119" s="117">
        <v>2024</v>
      </c>
    </row>
    <row r="120" spans="6:11" ht="15" customHeight="1" thickBot="1" x14ac:dyDescent="0.35">
      <c r="F120" s="82" t="s">
        <v>76</v>
      </c>
      <c r="G120" s="82">
        <v>2</v>
      </c>
      <c r="H120" s="82" t="s">
        <v>98</v>
      </c>
      <c r="I120" s="82">
        <v>25050</v>
      </c>
      <c r="J120" s="88" t="s">
        <v>224</v>
      </c>
      <c r="K120" s="117">
        <v>2024</v>
      </c>
    </row>
    <row r="121" spans="6:11" ht="15" customHeight="1" thickBot="1" x14ac:dyDescent="0.35">
      <c r="F121" s="82" t="s">
        <v>31</v>
      </c>
      <c r="G121" s="108" t="s">
        <v>226</v>
      </c>
      <c r="H121" s="82" t="s">
        <v>32</v>
      </c>
      <c r="I121" s="82">
        <v>193</v>
      </c>
      <c r="J121" s="88" t="s">
        <v>227</v>
      </c>
      <c r="K121" s="117">
        <v>2024</v>
      </c>
    </row>
    <row r="122" spans="6:11" ht="15" customHeight="1" thickBot="1" x14ac:dyDescent="0.35">
      <c r="F122" s="82" t="s">
        <v>33</v>
      </c>
      <c r="G122" s="108" t="s">
        <v>226</v>
      </c>
      <c r="H122" s="82" t="s">
        <v>32</v>
      </c>
      <c r="I122" s="82">
        <v>20</v>
      </c>
      <c r="J122" s="88" t="s">
        <v>227</v>
      </c>
      <c r="K122" s="117">
        <v>2024</v>
      </c>
    </row>
    <row r="123" spans="6:11" ht="15" customHeight="1" thickBot="1" x14ac:dyDescent="0.35">
      <c r="F123" s="82" t="s">
        <v>235</v>
      </c>
      <c r="G123" s="108" t="s">
        <v>226</v>
      </c>
      <c r="H123" s="82" t="s">
        <v>32</v>
      </c>
      <c r="I123" s="82">
        <v>3</v>
      </c>
      <c r="J123" s="88" t="s">
        <v>227</v>
      </c>
      <c r="K123" s="117">
        <v>2024</v>
      </c>
    </row>
    <row r="124" spans="6:11" ht="15" customHeight="1" thickBot="1" x14ac:dyDescent="0.35">
      <c r="F124" s="82" t="s">
        <v>236</v>
      </c>
      <c r="G124" s="108" t="s">
        <v>226</v>
      </c>
      <c r="H124" s="82" t="s">
        <v>32</v>
      </c>
      <c r="I124" s="82">
        <v>180</v>
      </c>
      <c r="J124" s="88" t="s">
        <v>227</v>
      </c>
      <c r="K124" s="117">
        <v>2024</v>
      </c>
    </row>
    <row r="125" spans="6:11" ht="15" customHeight="1" thickBot="1" x14ac:dyDescent="0.35">
      <c r="F125" s="82" t="s">
        <v>237</v>
      </c>
      <c r="G125" s="108" t="s">
        <v>226</v>
      </c>
      <c r="H125" s="82" t="s">
        <v>32</v>
      </c>
      <c r="I125" s="82">
        <v>204</v>
      </c>
      <c r="J125" s="88" t="s">
        <v>227</v>
      </c>
      <c r="K125" s="117">
        <v>2024</v>
      </c>
    </row>
    <row r="126" spans="6:11" ht="15" customHeight="1" thickBot="1" x14ac:dyDescent="0.35">
      <c r="F126" s="82" t="s">
        <v>238</v>
      </c>
      <c r="G126" s="108" t="s">
        <v>226</v>
      </c>
      <c r="H126" s="82" t="s">
        <v>32</v>
      </c>
      <c r="I126" s="82">
        <v>124</v>
      </c>
      <c r="J126" s="88" t="s">
        <v>227</v>
      </c>
      <c r="K126" s="117">
        <v>2024</v>
      </c>
    </row>
    <row r="127" spans="6:11" ht="15" customHeight="1" thickBot="1" x14ac:dyDescent="0.35">
      <c r="F127" s="82" t="s">
        <v>239</v>
      </c>
      <c r="G127" s="108" t="s">
        <v>226</v>
      </c>
      <c r="H127" s="82" t="s">
        <v>32</v>
      </c>
      <c r="I127" s="82">
        <v>109</v>
      </c>
      <c r="J127" s="88" t="s">
        <v>227</v>
      </c>
      <c r="K127" s="117">
        <v>2024</v>
      </c>
    </row>
    <row r="128" spans="6:11" ht="15" customHeight="1" thickBot="1" x14ac:dyDescent="0.35">
      <c r="F128" s="82" t="s">
        <v>240</v>
      </c>
      <c r="G128" s="108" t="s">
        <v>226</v>
      </c>
      <c r="H128" s="82" t="s">
        <v>32</v>
      </c>
      <c r="I128" s="82">
        <v>3</v>
      </c>
      <c r="J128" s="88" t="s">
        <v>227</v>
      </c>
      <c r="K128" s="117">
        <v>2024</v>
      </c>
    </row>
    <row r="129" spans="6:11" ht="15" customHeight="1" thickBot="1" x14ac:dyDescent="0.35">
      <c r="F129" s="82" t="s">
        <v>241</v>
      </c>
      <c r="G129" s="108" t="s">
        <v>226</v>
      </c>
      <c r="H129" s="82" t="s">
        <v>32</v>
      </c>
      <c r="I129" s="82">
        <f>0.017*1000</f>
        <v>17</v>
      </c>
      <c r="J129" s="88" t="s">
        <v>227</v>
      </c>
      <c r="K129" s="117">
        <v>2024</v>
      </c>
    </row>
    <row r="130" spans="6:11" ht="15" customHeight="1" thickBot="1" x14ac:dyDescent="0.35">
      <c r="F130" s="82" t="s">
        <v>242</v>
      </c>
      <c r="G130" s="108" t="s">
        <v>226</v>
      </c>
      <c r="H130" s="82" t="s">
        <v>32</v>
      </c>
      <c r="I130" s="82">
        <f>0.075*1000</f>
        <v>75</v>
      </c>
      <c r="J130" s="88" t="s">
        <v>227</v>
      </c>
      <c r="K130" s="117">
        <v>2024</v>
      </c>
    </row>
    <row r="131" spans="6:11" ht="15" customHeight="1" thickBot="1" x14ac:dyDescent="0.35">
      <c r="F131" s="82" t="s">
        <v>243</v>
      </c>
      <c r="G131" s="108" t="s">
        <v>226</v>
      </c>
      <c r="H131" s="82" t="s">
        <v>32</v>
      </c>
      <c r="I131" s="82">
        <v>109</v>
      </c>
      <c r="J131" s="88" t="s">
        <v>227</v>
      </c>
      <c r="K131" s="117">
        <v>2024</v>
      </c>
    </row>
    <row r="132" spans="6:11" ht="15" customHeight="1" thickBot="1" x14ac:dyDescent="0.35">
      <c r="F132" s="82" t="s">
        <v>244</v>
      </c>
      <c r="G132" s="108" t="s">
        <v>226</v>
      </c>
      <c r="H132" s="82" t="s">
        <v>32</v>
      </c>
      <c r="I132" s="82">
        <v>0</v>
      </c>
      <c r="J132" s="88" t="s">
        <v>227</v>
      </c>
      <c r="K132" s="117">
        <v>2024</v>
      </c>
    </row>
    <row r="133" spans="6:11" ht="15" customHeight="1" thickBot="1" x14ac:dyDescent="0.35">
      <c r="F133" s="82" t="s">
        <v>245</v>
      </c>
      <c r="G133" s="108" t="s">
        <v>226</v>
      </c>
      <c r="H133" s="82" t="s">
        <v>32</v>
      </c>
      <c r="I133" s="82">
        <v>0</v>
      </c>
      <c r="J133" s="88" t="s">
        <v>227</v>
      </c>
      <c r="K133" s="117">
        <v>2024</v>
      </c>
    </row>
    <row r="134" spans="6:11" ht="15" customHeight="1" thickBot="1" x14ac:dyDescent="0.35">
      <c r="F134" s="82" t="s">
        <v>34</v>
      </c>
      <c r="G134" s="108" t="s">
        <v>226</v>
      </c>
      <c r="H134" s="82" t="s">
        <v>32</v>
      </c>
      <c r="I134" s="82">
        <v>234</v>
      </c>
      <c r="J134" s="88" t="s">
        <v>227</v>
      </c>
      <c r="K134" s="117">
        <v>2024</v>
      </c>
    </row>
    <row r="135" spans="6:11" ht="15" customHeight="1" thickBot="1" x14ac:dyDescent="0.35">
      <c r="F135" s="82" t="s">
        <v>35</v>
      </c>
      <c r="G135" s="108" t="s">
        <v>226</v>
      </c>
      <c r="H135" s="82" t="s">
        <v>32</v>
      </c>
      <c r="I135" s="82">
        <v>172</v>
      </c>
      <c r="J135" s="88" t="s">
        <v>227</v>
      </c>
      <c r="K135" s="117">
        <v>2024</v>
      </c>
    </row>
    <row r="136" spans="6:11" ht="15" customHeight="1" x14ac:dyDescent="0.3">
      <c r="F136" s="280" t="s">
        <v>36</v>
      </c>
      <c r="G136" s="281" t="s">
        <v>226</v>
      </c>
      <c r="H136" s="280" t="s">
        <v>32</v>
      </c>
      <c r="I136" s="280">
        <v>157</v>
      </c>
      <c r="J136" s="282" t="s">
        <v>227</v>
      </c>
      <c r="K136" s="283">
        <v>2024</v>
      </c>
    </row>
  </sheetData>
  <sortState xmlns:xlrd2="http://schemas.microsoft.com/office/spreadsheetml/2017/richdata2" ref="L1:L5">
    <sortCondition ref="L1"/>
  </sortState>
  <mergeCells count="1">
    <mergeCell ref="B2:P2"/>
  </mergeCells>
  <phoneticPr fontId="9" type="noConversion"/>
  <conditionalFormatting sqref="B4:C14">
    <cfRule type="containsBlanks" dxfId="1" priority="12">
      <formula>LEN(TRIM(B4))=0</formula>
    </cfRule>
  </conditionalFormatting>
  <conditionalFormatting sqref="K6:K136">
    <cfRule type="containsBlanks" dxfId="0" priority="1">
      <formula>LEN(TRIM(K6))=0</formula>
    </cfRule>
  </conditionalFormatting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81bb12-d79e-4f54-bc1f-308897e96cfd">
      <Terms xmlns="http://schemas.microsoft.com/office/infopath/2007/PartnerControls"/>
    </lcf76f155ced4ddcb4097134ff3c332f>
    <SharedWithUsers xmlns="b412cca8-da11-47e8-aaf8-f25e3b3a4cb6">
      <UserInfo>
        <DisplayName>Rombouts, Joyce</DisplayName>
        <AccountId>24</AccountId>
        <AccountType/>
      </UserInfo>
    </SharedWithUsers>
    <TaxCatchAll xmlns="b412cca8-da11-47e8-aaf8-f25e3b3a4cb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8D8D72AF386A4A9F160E7A756008B6" ma:contentTypeVersion="18" ma:contentTypeDescription="Een nieuw document maken." ma:contentTypeScope="" ma:versionID="07a78a1a3aca3d6188b4e17deab51420">
  <xsd:schema xmlns:xsd="http://www.w3.org/2001/XMLSchema" xmlns:xs="http://www.w3.org/2001/XMLSchema" xmlns:p="http://schemas.microsoft.com/office/2006/metadata/properties" xmlns:ns2="b181bb12-d79e-4f54-bc1f-308897e96cfd" xmlns:ns3="b412cca8-da11-47e8-aaf8-f25e3b3a4cb6" targetNamespace="http://schemas.microsoft.com/office/2006/metadata/properties" ma:root="true" ma:fieldsID="75337215a8afff8afe84f61fdd5bf646" ns2:_="" ns3:_="">
    <xsd:import namespace="b181bb12-d79e-4f54-bc1f-308897e96cfd"/>
    <xsd:import namespace="b412cca8-da11-47e8-aaf8-f25e3b3a4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81bb12-d79e-4f54-bc1f-308897e96c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9e859127-965c-4449-b812-f2b50dbb9b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2cca8-da11-47e8-aaf8-f25e3b3a4cb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9502bee-f94f-4620-bd24-77a4b76c9be8}" ma:internalName="TaxCatchAll" ma:showField="CatchAllData" ma:web="b412cca8-da11-47e8-aaf8-f25e3b3a4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8F62F8-5070-49DD-94A4-46163EDA92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ABA259-5313-4259-AB28-43C46A0087FC}">
  <ds:schemaRefs>
    <ds:schemaRef ds:uri="http://schemas.microsoft.com/office/2006/documentManagement/types"/>
    <ds:schemaRef ds:uri="b181bb12-d79e-4f54-bc1f-308897e96cfd"/>
    <ds:schemaRef ds:uri="b412cca8-da11-47e8-aaf8-f25e3b3a4cb6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1E6AEF5-61F5-4E90-A028-55ED751DCC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81bb12-d79e-4f54-bc1f-308897e96cfd"/>
    <ds:schemaRef ds:uri="b412cca8-da11-47e8-aaf8-f25e3b3a4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CO2-emissie-inventaris</vt:lpstr>
      <vt:lpstr>CO2-voortgang</vt:lpstr>
      <vt:lpstr>Data</vt:lpstr>
      <vt:lpstr>Omrekening naar GJ</vt:lpstr>
      <vt:lpstr>Energiebeoordelingen</vt:lpstr>
      <vt:lpstr>Input keuzevariabelen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Cleo</dc:creator>
  <cp:keywords/>
  <dc:description/>
  <cp:lastModifiedBy>Akker, Irene van den</cp:lastModifiedBy>
  <cp:revision/>
  <dcterms:created xsi:type="dcterms:W3CDTF">2019-11-25T12:21:07Z</dcterms:created>
  <dcterms:modified xsi:type="dcterms:W3CDTF">2024-07-25T15:13:56Z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eDOCS AutoSave">
    <vt:lpwstr>20200617125950380</vt:lpwstr>
  </property>
  <property fmtid="{D5CDD505-2E9C-101B-9397-08002B2CF9AE}" pid="4" name="ContentTypeId">
    <vt:lpwstr>0x010100018D8D72AF386A4A9F160E7A756008B6</vt:lpwstr>
  </property>
  <property fmtid="{D5CDD505-2E9C-101B-9397-08002B2CF9AE}" pid="5" name="Order">
    <vt:r8>6900</vt:r8>
  </property>
  <property fmtid="{D5CDD505-2E9C-101B-9397-08002B2CF9AE}" pid="6" name="MediaServiceImageTags">
    <vt:lpwstr/>
  </property>
  <property fmtid="{D5CDD505-2E9C-101B-9397-08002B2CF9AE}" pid="7" name="MSIP_Label_f8d014da-bad0-4f7b-8267-8921e925f36a_Enabled">
    <vt:lpwstr>true</vt:lpwstr>
  </property>
  <property fmtid="{D5CDD505-2E9C-101B-9397-08002B2CF9AE}" pid="8" name="MSIP_Label_f8d014da-bad0-4f7b-8267-8921e925f36a_SetDate">
    <vt:lpwstr>2023-07-18T09:37:28Z</vt:lpwstr>
  </property>
  <property fmtid="{D5CDD505-2E9C-101B-9397-08002B2CF9AE}" pid="9" name="MSIP_Label_f8d014da-bad0-4f7b-8267-8921e925f36a_Method">
    <vt:lpwstr>Standard</vt:lpwstr>
  </property>
  <property fmtid="{D5CDD505-2E9C-101B-9397-08002B2CF9AE}" pid="10" name="MSIP_Label_f8d014da-bad0-4f7b-8267-8921e925f36a_Name">
    <vt:lpwstr>Interne gebruik Delfland</vt:lpwstr>
  </property>
  <property fmtid="{D5CDD505-2E9C-101B-9397-08002B2CF9AE}" pid="11" name="MSIP_Label_f8d014da-bad0-4f7b-8267-8921e925f36a_SiteId">
    <vt:lpwstr>4c3b82f9-a594-4dd6-a60e-1f43ac6fa22e</vt:lpwstr>
  </property>
  <property fmtid="{D5CDD505-2E9C-101B-9397-08002B2CF9AE}" pid="12" name="MSIP_Label_f8d014da-bad0-4f7b-8267-8921e925f36a_ActionId">
    <vt:lpwstr>e7a9ec49-51ce-4376-a53a-b6fa35d9a4c7</vt:lpwstr>
  </property>
  <property fmtid="{D5CDD505-2E9C-101B-9397-08002B2CF9AE}" pid="13" name="MSIP_Label_f8d014da-bad0-4f7b-8267-8921e925f36a_ContentBits">
    <vt:lpwstr>0</vt:lpwstr>
  </property>
</Properties>
</file>