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hidePivotFieldList="1"/>
  <mc:AlternateContent xmlns:mc="http://schemas.openxmlformats.org/markup-compatibility/2006">
    <mc:Choice Requires="x15">
      <x15ac:absPath xmlns:x15ac="http://schemas.microsoft.com/office/spreadsheetml/2010/11/ac" url="https://deduurzameadviseurs.sharepoint.com/sites/DeDuurzameAdviseurs-PersoonlijkeMappen/Gedeelde documenten/Persoonlijke Mappen/17. Donna/Klanten/2. Onderhoud/N3/HH van Delfland/"/>
    </mc:Choice>
  </mc:AlternateContent>
  <xr:revisionPtr revIDLastSave="1517" documentId="8_{39CE5B11-D66D-DA4F-866A-EB700558967F}" xr6:coauthVersionLast="47" xr6:coauthVersionMax="47" xr10:uidLastSave="{160A003A-2B40-F349-B446-2C84B8B2F750}"/>
  <bookViews>
    <workbookView xWindow="-38400" yWindow="-5220" windowWidth="38400" windowHeight="21100" activeTab="2" xr2:uid="{45DD4DBD-3E2A-A248-B5C4-6F93A429A277}"/>
  </bookViews>
  <sheets>
    <sheet name="Footprints" sheetId="1" r:id="rId1"/>
    <sheet name="Energieverbruik in GJ" sheetId="7" r:id="rId2"/>
    <sheet name="Voortgang" sheetId="4" r:id="rId3"/>
    <sheet name="Data" sheetId="3" r:id="rId4"/>
    <sheet name="Input keuzevariabelen" sheetId="2" r:id="rId5"/>
    <sheet name="Energiebeoordelingen" sheetId="6" r:id="rId6"/>
  </sheets>
  <externalReferences>
    <externalReference r:id="rId7"/>
    <externalReference r:id="rId8"/>
  </externalReferences>
  <definedNames>
    <definedName name="_xlnm._FilterDatabase" localSheetId="3" hidden="1">Data!$C$7:$P$300</definedName>
    <definedName name="_xlnm._FilterDatabase" localSheetId="0" hidden="1">Data!$C$7:$O$300</definedName>
    <definedName name="_xlnm._FilterDatabase" localSheetId="4" hidden="1">'Input keuzevariabelen'!$B$10:$B$30</definedName>
    <definedName name="_xlnm._FilterDatabase" localSheetId="2" hidden="1">Data!$C$7:$O$300</definedName>
    <definedName name="Lijst_Inkoop">OFFSET([1]Categorieën!$D$3,,,COUNTIF([1]Categorieën!$D$3:$D$27,"?*"))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i9VS5mYA618VdBQwS3MPzMzXqNSw=="/>
    </ext>
  </extLst>
</workbook>
</file>

<file path=xl/calcChain.xml><?xml version="1.0" encoding="utf-8"?>
<calcChain xmlns="http://schemas.openxmlformats.org/spreadsheetml/2006/main">
  <c r="R48" i="4" l="1"/>
  <c r="S48" i="4"/>
  <c r="Q48" i="4"/>
  <c r="R47" i="4"/>
  <c r="S47" i="4"/>
  <c r="Q47" i="4"/>
  <c r="R46" i="4"/>
  <c r="S46" i="4"/>
  <c r="Q46" i="4"/>
  <c r="Q44" i="4"/>
  <c r="AF48" i="4"/>
  <c r="AG48" i="4"/>
  <c r="AE48" i="4"/>
  <c r="AF47" i="4"/>
  <c r="AG47" i="4"/>
  <c r="AE47" i="4"/>
  <c r="AF44" i="4"/>
  <c r="AG44" i="4"/>
  <c r="AE44" i="4"/>
  <c r="AF46" i="4"/>
  <c r="AG46" i="4"/>
  <c r="AE46" i="4"/>
  <c r="Q45" i="4"/>
  <c r="R44" i="4"/>
  <c r="S44" i="4"/>
  <c r="AE37" i="4"/>
  <c r="AE39" i="4" s="1"/>
  <c r="AK38" i="4"/>
  <c r="AJ38" i="4"/>
  <c r="AI38" i="4"/>
  <c r="AH38" i="4"/>
  <c r="AG38" i="4"/>
  <c r="AF38" i="4"/>
  <c r="AE38" i="4"/>
  <c r="AK37" i="4"/>
  <c r="AK39" i="4" s="1"/>
  <c r="AJ37" i="4"/>
  <c r="AJ39" i="4" s="1"/>
  <c r="AI37" i="4"/>
  <c r="AI39" i="4" s="1"/>
  <c r="AH37" i="4"/>
  <c r="AH39" i="4" s="1"/>
  <c r="AG37" i="4"/>
  <c r="AG39" i="4" s="1"/>
  <c r="AF37" i="4"/>
  <c r="AF39" i="4" s="1"/>
  <c r="E45" i="4"/>
  <c r="C45" i="4"/>
  <c r="D44" i="4" l="1"/>
  <c r="E44" i="4"/>
  <c r="C44" i="4"/>
  <c r="D48" i="4"/>
  <c r="E48" i="4"/>
  <c r="C48" i="4"/>
  <c r="J45" i="4" s="1"/>
  <c r="K45" i="4" s="1"/>
  <c r="L45" i="4" s="1"/>
  <c r="M45" i="4" s="1"/>
  <c r="D47" i="4"/>
  <c r="E47" i="4"/>
  <c r="H107" i="3"/>
  <c r="H59" i="3"/>
  <c r="H11" i="3"/>
  <c r="E46" i="4"/>
  <c r="D46" i="4"/>
  <c r="C46" i="4"/>
  <c r="M107" i="3"/>
  <c r="K106" i="3"/>
  <c r="J106" i="3"/>
  <c r="M106" i="3" s="1"/>
  <c r="I106" i="3"/>
  <c r="F106" i="3"/>
  <c r="K58" i="3"/>
  <c r="J58" i="3"/>
  <c r="M58" i="3" s="1"/>
  <c r="I58" i="3"/>
  <c r="F58" i="3"/>
  <c r="K10" i="3"/>
  <c r="J10" i="3"/>
  <c r="M10" i="3" s="1"/>
  <c r="I10" i="3"/>
  <c r="F10" i="3"/>
  <c r="J47" i="4" l="1"/>
  <c r="K47" i="4" s="1"/>
  <c r="L47" i="4" s="1"/>
  <c r="M47" i="4" s="1"/>
  <c r="L106" i="3"/>
  <c r="L58" i="3"/>
  <c r="L10" i="3"/>
  <c r="U14" i="7"/>
  <c r="X14" i="7" s="1"/>
  <c r="U15" i="7"/>
  <c r="X15" i="7" s="1"/>
  <c r="U16" i="7"/>
  <c r="X16" i="7" s="1"/>
  <c r="U17" i="7"/>
  <c r="X17" i="7" s="1"/>
  <c r="U18" i="7"/>
  <c r="X18" i="7" s="1"/>
  <c r="U19" i="7"/>
  <c r="X19" i="7" s="1"/>
  <c r="U20" i="7"/>
  <c r="X20" i="7" s="1"/>
  <c r="U13" i="7"/>
  <c r="X13" i="7" s="1"/>
  <c r="Q16" i="1"/>
  <c r="T10" i="7"/>
  <c r="V6" i="7"/>
  <c r="J14" i="7"/>
  <c r="M14" i="7" s="1"/>
  <c r="J29" i="7" s="1"/>
  <c r="J15" i="7"/>
  <c r="M15" i="7" s="1"/>
  <c r="J30" i="7" s="1"/>
  <c r="J16" i="7"/>
  <c r="M16" i="7" s="1"/>
  <c r="J31" i="7" s="1"/>
  <c r="J17" i="7"/>
  <c r="M17" i="7" s="1"/>
  <c r="J32" i="7" s="1"/>
  <c r="J18" i="7"/>
  <c r="M18" i="7" s="1"/>
  <c r="J33" i="7" s="1"/>
  <c r="J19" i="7"/>
  <c r="M19" i="7" s="1"/>
  <c r="J34" i="7" s="1"/>
  <c r="J20" i="7"/>
  <c r="M20" i="7" s="1"/>
  <c r="J35" i="7" s="1"/>
  <c r="J13" i="7"/>
  <c r="M13" i="7" s="1"/>
  <c r="C16" i="7"/>
  <c r="F16" i="7" s="1"/>
  <c r="C31" i="7" s="1"/>
  <c r="C20" i="7"/>
  <c r="F20" i="7" s="1"/>
  <c r="C35" i="7" s="1"/>
  <c r="K78" i="7"/>
  <c r="L78" i="7" s="1"/>
  <c r="M78" i="7" s="1"/>
  <c r="D78" i="7"/>
  <c r="E78" i="7" s="1"/>
  <c r="F78" i="7" s="1"/>
  <c r="I77" i="7"/>
  <c r="I61" i="7"/>
  <c r="B61" i="7"/>
  <c r="M58" i="7"/>
  <c r="M89" i="7" s="1"/>
  <c r="L58" i="7"/>
  <c r="L89" i="7" s="1"/>
  <c r="K58" i="7"/>
  <c r="K89" i="7" s="1"/>
  <c r="J58" i="7"/>
  <c r="J89" i="7" s="1"/>
  <c r="J90" i="7" s="1"/>
  <c r="F58" i="7"/>
  <c r="F86" i="7" s="1"/>
  <c r="E58" i="7"/>
  <c r="D58" i="7"/>
  <c r="C58" i="7"/>
  <c r="C80" i="7" s="1"/>
  <c r="K44" i="7"/>
  <c r="L44" i="7" s="1"/>
  <c r="M44" i="7" s="1"/>
  <c r="D44" i="7"/>
  <c r="E44" i="7" s="1"/>
  <c r="F44" i="7" s="1"/>
  <c r="I43" i="7"/>
  <c r="I10" i="7"/>
  <c r="B10" i="7"/>
  <c r="K6" i="7"/>
  <c r="D80" i="7" l="1"/>
  <c r="K86" i="7"/>
  <c r="M21" i="7"/>
  <c r="N21" i="7" s="1"/>
  <c r="J28" i="7"/>
  <c r="U28" i="7"/>
  <c r="X21" i="7"/>
  <c r="Y21" i="7" s="1"/>
  <c r="U34" i="7"/>
  <c r="U32" i="7"/>
  <c r="U35" i="7"/>
  <c r="U31" i="7"/>
  <c r="U33" i="7"/>
  <c r="U30" i="7"/>
  <c r="U29" i="7"/>
  <c r="K90" i="7"/>
  <c r="K83" i="7"/>
  <c r="C86" i="7"/>
  <c r="C87" i="7" s="1"/>
  <c r="L90" i="7"/>
  <c r="D86" i="7"/>
  <c r="M90" i="7"/>
  <c r="J86" i="7"/>
  <c r="J87" i="7" s="1"/>
  <c r="C83" i="7"/>
  <c r="C84" i="7" s="1"/>
  <c r="K87" i="7"/>
  <c r="C89" i="7"/>
  <c r="C90" i="7" s="1"/>
  <c r="E80" i="7"/>
  <c r="D83" i="7"/>
  <c r="D89" i="7"/>
  <c r="D90" i="7" s="1"/>
  <c r="F80" i="7"/>
  <c r="F83" i="7"/>
  <c r="F89" i="7"/>
  <c r="F90" i="7" s="1"/>
  <c r="J80" i="7"/>
  <c r="J83" i="7"/>
  <c r="J84" i="7" s="1"/>
  <c r="K80" i="7"/>
  <c r="L80" i="7"/>
  <c r="E83" i="7"/>
  <c r="E86" i="7"/>
  <c r="E89" i="7"/>
  <c r="E90" i="7" s="1"/>
  <c r="M80" i="7"/>
  <c r="L83" i="7"/>
  <c r="L86" i="7"/>
  <c r="M83" i="7"/>
  <c r="M86" i="7"/>
  <c r="M87" i="7" s="1"/>
  <c r="F84" i="7" l="1"/>
  <c r="L87" i="7"/>
  <c r="Y15" i="7"/>
  <c r="Y16" i="7"/>
  <c r="Y20" i="7"/>
  <c r="Y18" i="7"/>
  <c r="Y14" i="7"/>
  <c r="Y13" i="7"/>
  <c r="Y19" i="7"/>
  <c r="Y17" i="7"/>
  <c r="E84" i="7"/>
  <c r="F87" i="7"/>
  <c r="D87" i="7"/>
  <c r="M84" i="7"/>
  <c r="L84" i="7"/>
  <c r="K84" i="7"/>
  <c r="E87" i="7"/>
  <c r="D84" i="7"/>
  <c r="N20" i="7"/>
  <c r="N13" i="7"/>
  <c r="N18" i="7"/>
  <c r="N15" i="7"/>
  <c r="N17" i="7"/>
  <c r="N19" i="7"/>
  <c r="N14" i="7"/>
  <c r="N16" i="7"/>
  <c r="J48" i="3" l="1"/>
  <c r="J49" i="3"/>
  <c r="J50" i="3"/>
  <c r="J51" i="3"/>
  <c r="J52" i="3"/>
  <c r="J53" i="3"/>
  <c r="J54" i="3"/>
  <c r="J96" i="3"/>
  <c r="J97" i="3"/>
  <c r="J98" i="3"/>
  <c r="J99" i="3"/>
  <c r="J100" i="3"/>
  <c r="J101" i="3"/>
  <c r="J102" i="3"/>
  <c r="J138" i="3"/>
  <c r="J139" i="3"/>
  <c r="J140" i="3"/>
  <c r="J141" i="3"/>
  <c r="J142" i="3"/>
  <c r="J143" i="3"/>
  <c r="J144" i="3"/>
  <c r="C25" i="6" l="1"/>
  <c r="C10" i="6"/>
  <c r="K144" i="3"/>
  <c r="I144" i="3"/>
  <c r="H144" i="3"/>
  <c r="F144" i="3"/>
  <c r="K143" i="3"/>
  <c r="I143" i="3"/>
  <c r="H143" i="3"/>
  <c r="F143" i="3"/>
  <c r="K142" i="3"/>
  <c r="I142" i="3"/>
  <c r="H142" i="3"/>
  <c r="F142" i="3"/>
  <c r="K141" i="3"/>
  <c r="I141" i="3"/>
  <c r="H141" i="3"/>
  <c r="C14" i="7" s="1"/>
  <c r="F14" i="7" s="1"/>
  <c r="F141" i="3"/>
  <c r="K140" i="3"/>
  <c r="I140" i="3"/>
  <c r="H140" i="3"/>
  <c r="C19" i="7" s="1"/>
  <c r="F19" i="7" s="1"/>
  <c r="F140" i="3"/>
  <c r="K139" i="3"/>
  <c r="I139" i="3"/>
  <c r="H139" i="3"/>
  <c r="L139" i="3" s="1"/>
  <c r="F139" i="3"/>
  <c r="K138" i="3"/>
  <c r="I138" i="3"/>
  <c r="H138" i="3"/>
  <c r="M138" i="3" s="1"/>
  <c r="F138" i="3"/>
  <c r="K102" i="3"/>
  <c r="I102" i="3"/>
  <c r="H102" i="3"/>
  <c r="F102" i="3"/>
  <c r="K101" i="3"/>
  <c r="I101" i="3"/>
  <c r="H101" i="3"/>
  <c r="F101" i="3"/>
  <c r="K100" i="3"/>
  <c r="I100" i="3"/>
  <c r="H100" i="3"/>
  <c r="F100" i="3"/>
  <c r="K99" i="3"/>
  <c r="I99" i="3"/>
  <c r="H99" i="3"/>
  <c r="F99" i="3"/>
  <c r="K98" i="3"/>
  <c r="I98" i="3"/>
  <c r="H98" i="3"/>
  <c r="F98" i="3"/>
  <c r="K97" i="3"/>
  <c r="I97" i="3"/>
  <c r="H97" i="3"/>
  <c r="F97" i="3"/>
  <c r="K96" i="3"/>
  <c r="I96" i="3"/>
  <c r="H96" i="3"/>
  <c r="F96" i="3"/>
  <c r="K54" i="3"/>
  <c r="I54" i="3"/>
  <c r="H54" i="3"/>
  <c r="F54" i="3"/>
  <c r="K53" i="3"/>
  <c r="I53" i="3"/>
  <c r="H53" i="3"/>
  <c r="F53" i="3"/>
  <c r="K52" i="3"/>
  <c r="I52" i="3"/>
  <c r="H52" i="3"/>
  <c r="F52" i="3"/>
  <c r="K51" i="3"/>
  <c r="I51" i="3"/>
  <c r="H51" i="3"/>
  <c r="F51" i="3"/>
  <c r="K50" i="3"/>
  <c r="I50" i="3"/>
  <c r="H50" i="3"/>
  <c r="F50" i="3"/>
  <c r="K49" i="3"/>
  <c r="I49" i="3"/>
  <c r="H49" i="3"/>
  <c r="F49" i="3"/>
  <c r="K48" i="3"/>
  <c r="I48" i="3"/>
  <c r="H48" i="3"/>
  <c r="F48" i="3"/>
  <c r="C29" i="7" l="1"/>
  <c r="C34" i="7"/>
  <c r="M142" i="3"/>
  <c r="C15" i="7"/>
  <c r="F15" i="7" s="1"/>
  <c r="M97" i="3"/>
  <c r="M144" i="3"/>
  <c r="M141" i="3"/>
  <c r="M96" i="3"/>
  <c r="L53" i="3"/>
  <c r="M139" i="3"/>
  <c r="L143" i="3"/>
  <c r="M140" i="3"/>
  <c r="L142" i="3"/>
  <c r="M143" i="3"/>
  <c r="L138" i="3"/>
  <c r="L141" i="3"/>
  <c r="L140" i="3"/>
  <c r="L144" i="3"/>
  <c r="M98" i="3"/>
  <c r="M100" i="3"/>
  <c r="L97" i="3"/>
  <c r="M102" i="3"/>
  <c r="M99" i="3"/>
  <c r="L101" i="3"/>
  <c r="L100" i="3"/>
  <c r="M101" i="3"/>
  <c r="L96" i="3"/>
  <c r="L99" i="3"/>
  <c r="L98" i="3"/>
  <c r="L102" i="3"/>
  <c r="M52" i="3"/>
  <c r="M49" i="3"/>
  <c r="M54" i="3"/>
  <c r="M51" i="3"/>
  <c r="M48" i="3"/>
  <c r="L50" i="3"/>
  <c r="L52" i="3"/>
  <c r="M53" i="3"/>
  <c r="L51" i="3"/>
  <c r="M50" i="3"/>
  <c r="L49" i="3"/>
  <c r="L48" i="3"/>
  <c r="L54" i="3"/>
  <c r="C30" i="7" l="1"/>
  <c r="H137" i="3"/>
  <c r="C17" i="7" s="1"/>
  <c r="F17" i="7" s="1"/>
  <c r="H136" i="3"/>
  <c r="H95" i="3"/>
  <c r="H94" i="3"/>
  <c r="H47" i="3"/>
  <c r="C27" i="6" s="1"/>
  <c r="H46" i="3"/>
  <c r="C12" i="6" s="1"/>
  <c r="C32" i="7" l="1"/>
  <c r="K95" i="3"/>
  <c r="J95" i="3"/>
  <c r="M95" i="3" s="1"/>
  <c r="I95" i="3"/>
  <c r="F95" i="3"/>
  <c r="K94" i="3"/>
  <c r="J94" i="3"/>
  <c r="M94" i="3" s="1"/>
  <c r="I94" i="3"/>
  <c r="F94" i="3"/>
  <c r="H93" i="3"/>
  <c r="H92" i="3"/>
  <c r="H91" i="3"/>
  <c r="H45" i="3"/>
  <c r="H44" i="3"/>
  <c r="C26" i="6" s="1"/>
  <c r="H43" i="3"/>
  <c r="C11" i="6" s="1"/>
  <c r="K47" i="3"/>
  <c r="J47" i="3"/>
  <c r="M47" i="3" s="1"/>
  <c r="I47" i="3"/>
  <c r="F47" i="3"/>
  <c r="K46" i="3"/>
  <c r="J46" i="3"/>
  <c r="M46" i="3" s="1"/>
  <c r="I46" i="3"/>
  <c r="F46" i="3"/>
  <c r="K45" i="3"/>
  <c r="J45" i="3"/>
  <c r="I45" i="3"/>
  <c r="F45" i="3"/>
  <c r="K44" i="3"/>
  <c r="J44" i="3"/>
  <c r="M44" i="3" s="1"/>
  <c r="I44" i="3"/>
  <c r="F44" i="3"/>
  <c r="K43" i="3"/>
  <c r="J43" i="3"/>
  <c r="M43" i="3" s="1"/>
  <c r="I43" i="3"/>
  <c r="F43" i="3"/>
  <c r="H135" i="3"/>
  <c r="C18" i="7" s="1"/>
  <c r="F18" i="7" s="1"/>
  <c r="H134" i="3"/>
  <c r="C13" i="7" s="1"/>
  <c r="F13" i="7" s="1"/>
  <c r="K91" i="3"/>
  <c r="J91" i="3"/>
  <c r="M91" i="3" s="1"/>
  <c r="I91" i="3"/>
  <c r="F91" i="3"/>
  <c r="K92" i="3"/>
  <c r="J92" i="3"/>
  <c r="I92" i="3"/>
  <c r="F92" i="3"/>
  <c r="K93" i="3"/>
  <c r="J93" i="3"/>
  <c r="I93" i="3"/>
  <c r="F93" i="3"/>
  <c r="C33" i="7" l="1"/>
  <c r="C28" i="7"/>
  <c r="F21" i="7"/>
  <c r="G18" i="7" s="1"/>
  <c r="L94" i="3"/>
  <c r="L95" i="3"/>
  <c r="M93" i="3"/>
  <c r="M45" i="3"/>
  <c r="L46" i="3"/>
  <c r="L45" i="3"/>
  <c r="L44" i="3"/>
  <c r="L47" i="3"/>
  <c r="L43" i="3"/>
  <c r="L92" i="3"/>
  <c r="M92" i="3"/>
  <c r="L93" i="3"/>
  <c r="L91" i="3"/>
  <c r="W29" i="7" l="1"/>
  <c r="V29" i="7" s="1"/>
  <c r="W35" i="7"/>
  <c r="V35" i="7" s="1"/>
  <c r="W34" i="7"/>
  <c r="V34" i="7" s="1"/>
  <c r="L34" i="7"/>
  <c r="K34" i="7" s="1"/>
  <c r="L30" i="7"/>
  <c r="K30" i="7" s="1"/>
  <c r="E31" i="7"/>
  <c r="D31" i="7" s="1"/>
  <c r="L33" i="7"/>
  <c r="K33" i="7" s="1"/>
  <c r="E33" i="7"/>
  <c r="D33" i="7" s="1"/>
  <c r="E29" i="7"/>
  <c r="D29" i="7" s="1"/>
  <c r="L31" i="7"/>
  <c r="K31" i="7" s="1"/>
  <c r="L32" i="7"/>
  <c r="K32" i="7" s="1"/>
  <c r="W28" i="7"/>
  <c r="V28" i="7" s="1"/>
  <c r="E34" i="7"/>
  <c r="D34" i="7" s="1"/>
  <c r="L28" i="7"/>
  <c r="K28" i="7" s="1"/>
  <c r="L29" i="7"/>
  <c r="K29" i="7" s="1"/>
  <c r="E32" i="7"/>
  <c r="D32" i="7" s="1"/>
  <c r="E28" i="7"/>
  <c r="D28" i="7" s="1"/>
  <c r="L35" i="7"/>
  <c r="K35" i="7" s="1"/>
  <c r="W33" i="7"/>
  <c r="V33" i="7" s="1"/>
  <c r="W32" i="7"/>
  <c r="V32" i="7" s="1"/>
  <c r="W31" i="7"/>
  <c r="V31" i="7" s="1"/>
  <c r="W30" i="7"/>
  <c r="V30" i="7" s="1"/>
  <c r="E35" i="7"/>
  <c r="D35" i="7" s="1"/>
  <c r="E30" i="7"/>
  <c r="D30" i="7" s="1"/>
  <c r="G13" i="7"/>
  <c r="G20" i="7"/>
  <c r="G21" i="7"/>
  <c r="G16" i="7"/>
  <c r="G14" i="7"/>
  <c r="G19" i="7"/>
  <c r="G15" i="7"/>
  <c r="G17" i="7"/>
  <c r="K79" i="3"/>
  <c r="J79" i="3"/>
  <c r="M79" i="3" s="1"/>
  <c r="I79" i="3"/>
  <c r="F79" i="3"/>
  <c r="H39" i="3"/>
  <c r="K18" i="3"/>
  <c r="J18" i="3"/>
  <c r="M18" i="3" s="1"/>
  <c r="I18" i="3"/>
  <c r="F18" i="3"/>
  <c r="K17" i="3"/>
  <c r="J17" i="3"/>
  <c r="M17" i="3" s="1"/>
  <c r="I17" i="3"/>
  <c r="F17" i="3"/>
  <c r="L79" i="3" l="1"/>
  <c r="L18" i="3"/>
  <c r="L17" i="3"/>
  <c r="K129" i="3" l="1"/>
  <c r="J129" i="3"/>
  <c r="M129" i="3" s="1"/>
  <c r="I129" i="3"/>
  <c r="F129" i="3"/>
  <c r="K130" i="3"/>
  <c r="J130" i="3"/>
  <c r="M130" i="3" s="1"/>
  <c r="I130" i="3"/>
  <c r="F130" i="3"/>
  <c r="K131" i="3"/>
  <c r="J131" i="3"/>
  <c r="M131" i="3" s="1"/>
  <c r="I131" i="3"/>
  <c r="F131" i="3"/>
  <c r="K132" i="3"/>
  <c r="J132" i="3"/>
  <c r="M132" i="3" s="1"/>
  <c r="I132" i="3"/>
  <c r="F132" i="3"/>
  <c r="K133" i="3"/>
  <c r="J133" i="3"/>
  <c r="M133" i="3" s="1"/>
  <c r="I133" i="3"/>
  <c r="F133" i="3"/>
  <c r="K134" i="3"/>
  <c r="J134" i="3"/>
  <c r="M134" i="3" s="1"/>
  <c r="I134" i="3"/>
  <c r="F134" i="3"/>
  <c r="K135" i="3"/>
  <c r="J135" i="3"/>
  <c r="M135" i="3" s="1"/>
  <c r="I135" i="3"/>
  <c r="F135" i="3"/>
  <c r="L129" i="3" l="1"/>
  <c r="L131" i="3"/>
  <c r="L130" i="3"/>
  <c r="L132" i="3"/>
  <c r="L133" i="3"/>
  <c r="L134" i="3"/>
  <c r="L135" i="3"/>
  <c r="K12" i="3" l="1"/>
  <c r="J12" i="3"/>
  <c r="M12" i="3" s="1"/>
  <c r="I12" i="3"/>
  <c r="F12" i="3"/>
  <c r="F11" i="3"/>
  <c r="I11" i="3"/>
  <c r="J11" i="3"/>
  <c r="L11" i="3" s="1"/>
  <c r="K11" i="3"/>
  <c r="K65" i="3"/>
  <c r="J65" i="3"/>
  <c r="M65" i="3" s="1"/>
  <c r="I65" i="3"/>
  <c r="F65" i="3"/>
  <c r="F36" i="3"/>
  <c r="J24" i="3"/>
  <c r="J25" i="3"/>
  <c r="L12" i="3" l="1"/>
  <c r="M11" i="3"/>
  <c r="L65" i="3"/>
  <c r="I20" i="3" l="1"/>
  <c r="J20" i="3"/>
  <c r="L20" i="3" s="1"/>
  <c r="K20" i="3"/>
  <c r="I21" i="3"/>
  <c r="J21" i="3"/>
  <c r="L21" i="3" s="1"/>
  <c r="K21" i="3"/>
  <c r="I22" i="3"/>
  <c r="J22" i="3"/>
  <c r="L22" i="3" s="1"/>
  <c r="K22" i="3"/>
  <c r="I23" i="3"/>
  <c r="J23" i="3"/>
  <c r="L23" i="3" s="1"/>
  <c r="K23" i="3"/>
  <c r="I24" i="3"/>
  <c r="L24" i="3"/>
  <c r="K24" i="3"/>
  <c r="I25" i="3"/>
  <c r="L25" i="3"/>
  <c r="K25" i="3"/>
  <c r="I26" i="3"/>
  <c r="J26" i="3"/>
  <c r="L26" i="3" s="1"/>
  <c r="K26" i="3"/>
  <c r="I27" i="3"/>
  <c r="J27" i="3"/>
  <c r="M27" i="3" s="1"/>
  <c r="K27" i="3"/>
  <c r="I28" i="3"/>
  <c r="J28" i="3"/>
  <c r="M28" i="3" s="1"/>
  <c r="K28" i="3"/>
  <c r="I29" i="3"/>
  <c r="J29" i="3"/>
  <c r="L29" i="3" s="1"/>
  <c r="K29" i="3"/>
  <c r="I30" i="3"/>
  <c r="J30" i="3"/>
  <c r="L30" i="3" s="1"/>
  <c r="K30" i="3"/>
  <c r="I31" i="3"/>
  <c r="J31" i="3"/>
  <c r="L31" i="3" s="1"/>
  <c r="K31" i="3"/>
  <c r="I32" i="3"/>
  <c r="J32" i="3"/>
  <c r="M32" i="3" s="1"/>
  <c r="K32" i="3"/>
  <c r="I33" i="3"/>
  <c r="J33" i="3"/>
  <c r="L33" i="3" s="1"/>
  <c r="K33" i="3"/>
  <c r="I34" i="3"/>
  <c r="J34" i="3"/>
  <c r="L34" i="3" s="1"/>
  <c r="K34" i="3"/>
  <c r="I35" i="3"/>
  <c r="J35" i="3"/>
  <c r="L35" i="3" s="1"/>
  <c r="K35" i="3"/>
  <c r="I36" i="3"/>
  <c r="J36" i="3"/>
  <c r="L36" i="3" s="1"/>
  <c r="K36" i="3"/>
  <c r="I37" i="3"/>
  <c r="J37" i="3"/>
  <c r="L37" i="3" s="1"/>
  <c r="K37" i="3"/>
  <c r="I38" i="3"/>
  <c r="J38" i="3"/>
  <c r="L38" i="3" s="1"/>
  <c r="K38" i="3"/>
  <c r="I39" i="3"/>
  <c r="J39" i="3"/>
  <c r="L39" i="3" s="1"/>
  <c r="K39" i="3"/>
  <c r="I40" i="3"/>
  <c r="J40" i="3"/>
  <c r="L40" i="3" s="1"/>
  <c r="K40" i="3"/>
  <c r="I41" i="3"/>
  <c r="J41" i="3"/>
  <c r="L41" i="3" s="1"/>
  <c r="K41" i="3"/>
  <c r="I42" i="3"/>
  <c r="J42" i="3"/>
  <c r="L42" i="3" s="1"/>
  <c r="K42" i="3"/>
  <c r="F64" i="3"/>
  <c r="I64" i="3"/>
  <c r="J64" i="3"/>
  <c r="L64" i="3" s="1"/>
  <c r="K64" i="3"/>
  <c r="F66" i="3"/>
  <c r="I66" i="3"/>
  <c r="J66" i="3"/>
  <c r="L66" i="3" s="1"/>
  <c r="K66" i="3"/>
  <c r="F67" i="3"/>
  <c r="I67" i="3"/>
  <c r="J67" i="3"/>
  <c r="L67" i="3" s="1"/>
  <c r="K67" i="3"/>
  <c r="F68" i="3"/>
  <c r="I68" i="3"/>
  <c r="J68" i="3"/>
  <c r="L68" i="3" s="1"/>
  <c r="K68" i="3"/>
  <c r="F69" i="3"/>
  <c r="I69" i="3"/>
  <c r="J69" i="3"/>
  <c r="L69" i="3" s="1"/>
  <c r="K69" i="3"/>
  <c r="F70" i="3"/>
  <c r="I70" i="3"/>
  <c r="J70" i="3"/>
  <c r="L70" i="3" s="1"/>
  <c r="K70" i="3"/>
  <c r="F71" i="3"/>
  <c r="I71" i="3"/>
  <c r="J71" i="3"/>
  <c r="L71" i="3" s="1"/>
  <c r="K71" i="3"/>
  <c r="F72" i="3"/>
  <c r="I72" i="3"/>
  <c r="J72" i="3"/>
  <c r="L72" i="3" s="1"/>
  <c r="K72" i="3"/>
  <c r="F73" i="3"/>
  <c r="I73" i="3"/>
  <c r="J73" i="3"/>
  <c r="L73" i="3" s="1"/>
  <c r="K73" i="3"/>
  <c r="F74" i="3"/>
  <c r="I74" i="3"/>
  <c r="J74" i="3"/>
  <c r="L74" i="3" s="1"/>
  <c r="K74" i="3"/>
  <c r="F75" i="3"/>
  <c r="I75" i="3"/>
  <c r="J75" i="3"/>
  <c r="M75" i="3" s="1"/>
  <c r="K75" i="3"/>
  <c r="F76" i="3"/>
  <c r="I76" i="3"/>
  <c r="J76" i="3"/>
  <c r="L76" i="3" s="1"/>
  <c r="K76" i="3"/>
  <c r="F77" i="3"/>
  <c r="I77" i="3"/>
  <c r="J77" i="3"/>
  <c r="L77" i="3" s="1"/>
  <c r="K77" i="3"/>
  <c r="F78" i="3"/>
  <c r="I78" i="3"/>
  <c r="J78" i="3"/>
  <c r="L78" i="3" s="1"/>
  <c r="K78" i="3"/>
  <c r="F80" i="3"/>
  <c r="I80" i="3"/>
  <c r="K80" i="3"/>
  <c r="F81" i="3"/>
  <c r="I81" i="3"/>
  <c r="J81" i="3"/>
  <c r="M81" i="3" s="1"/>
  <c r="K81" i="3"/>
  <c r="F82" i="3"/>
  <c r="I82" i="3"/>
  <c r="J82" i="3"/>
  <c r="L82" i="3" s="1"/>
  <c r="K82" i="3"/>
  <c r="F83" i="3"/>
  <c r="I83" i="3"/>
  <c r="J83" i="3"/>
  <c r="L83" i="3" s="1"/>
  <c r="K83" i="3"/>
  <c r="F84" i="3"/>
  <c r="I84" i="3"/>
  <c r="J84" i="3"/>
  <c r="M84" i="3" s="1"/>
  <c r="K84" i="3"/>
  <c r="F85" i="3"/>
  <c r="I85" i="3"/>
  <c r="J85" i="3"/>
  <c r="L85" i="3" s="1"/>
  <c r="K85" i="3"/>
  <c r="F86" i="3"/>
  <c r="I86" i="3"/>
  <c r="J86" i="3"/>
  <c r="L86" i="3" s="1"/>
  <c r="K86" i="3"/>
  <c r="F87" i="3"/>
  <c r="I87" i="3"/>
  <c r="J87" i="3"/>
  <c r="M87" i="3" s="1"/>
  <c r="K87" i="3"/>
  <c r="F88" i="3"/>
  <c r="I88" i="3"/>
  <c r="J88" i="3"/>
  <c r="M88" i="3" s="1"/>
  <c r="K88" i="3"/>
  <c r="F89" i="3"/>
  <c r="I89" i="3"/>
  <c r="J89" i="3"/>
  <c r="L89" i="3" s="1"/>
  <c r="K89" i="3"/>
  <c r="L32" i="3" l="1"/>
  <c r="M35" i="3"/>
  <c r="L28" i="3"/>
  <c r="M31" i="3"/>
  <c r="L27" i="3"/>
  <c r="M34" i="3"/>
  <c r="M30" i="3"/>
  <c r="M33" i="3"/>
  <c r="M38" i="3"/>
  <c r="M22" i="3"/>
  <c r="C14" i="4" s="1"/>
  <c r="M41" i="3"/>
  <c r="M25" i="3"/>
  <c r="M37" i="3"/>
  <c r="M21" i="3"/>
  <c r="M40" i="3"/>
  <c r="M24" i="3"/>
  <c r="L84" i="3"/>
  <c r="M36" i="3"/>
  <c r="M20" i="3"/>
  <c r="M39" i="3"/>
  <c r="M23" i="3"/>
  <c r="M42" i="3"/>
  <c r="M26" i="3"/>
  <c r="M29" i="3"/>
  <c r="L88" i="3"/>
  <c r="L75" i="3"/>
  <c r="L81" i="3"/>
  <c r="M89" i="3"/>
  <c r="M72" i="3"/>
  <c r="M86" i="3"/>
  <c r="M77" i="3"/>
  <c r="M69" i="3"/>
  <c r="M83" i="3"/>
  <c r="M74" i="3"/>
  <c r="M66" i="3"/>
  <c r="M71" i="3"/>
  <c r="M85" i="3"/>
  <c r="M76" i="3"/>
  <c r="M68" i="3"/>
  <c r="L87" i="3"/>
  <c r="M82" i="3"/>
  <c r="M73" i="3"/>
  <c r="M64" i="3"/>
  <c r="M78" i="3"/>
  <c r="M70" i="3"/>
  <c r="M67" i="3"/>
  <c r="J48" i="4"/>
  <c r="K48" i="4" s="1"/>
  <c r="L48" i="4" s="1"/>
  <c r="M48" i="4" s="1"/>
  <c r="F35" i="3" l="1"/>
  <c r="Q46" i="1"/>
  <c r="Q45" i="1"/>
  <c r="T35" i="1"/>
  <c r="T36" i="1"/>
  <c r="T37" i="1"/>
  <c r="T27" i="1"/>
  <c r="T21" i="1"/>
  <c r="Q34" i="1"/>
  <c r="Q35" i="1"/>
  <c r="Q36" i="1"/>
  <c r="Q37" i="1"/>
  <c r="Q33" i="1"/>
  <c r="Q27" i="1"/>
  <c r="Q28" i="1"/>
  <c r="Q29" i="1"/>
  <c r="Q25" i="1"/>
  <c r="Q17" i="1"/>
  <c r="Q18" i="1"/>
  <c r="Q19" i="1"/>
  <c r="Q20" i="1"/>
  <c r="Q21" i="1"/>
  <c r="T14" i="1"/>
  <c r="S14" i="1"/>
  <c r="AE92" i="4"/>
  <c r="AE91" i="4"/>
  <c r="AE90" i="4"/>
  <c r="AE89" i="4"/>
  <c r="AE88" i="4"/>
  <c r="AE87" i="4"/>
  <c r="AE81" i="4"/>
  <c r="AE82" i="4"/>
  <c r="AE83" i="4"/>
  <c r="AE84" i="4"/>
  <c r="AE80" i="4"/>
  <c r="AE75" i="4"/>
  <c r="AE76" i="4"/>
  <c r="AE77" i="4"/>
  <c r="AE74" i="4"/>
  <c r="AF102" i="4"/>
  <c r="AG102" i="4" s="1"/>
  <c r="AH102" i="4" s="1"/>
  <c r="AI102" i="4" s="1"/>
  <c r="AJ102" i="4" s="1"/>
  <c r="AK102" i="4" s="1"/>
  <c r="AL102" i="4" s="1"/>
  <c r="AM102" i="4" s="1"/>
  <c r="AF72" i="4"/>
  <c r="AG72" i="4" s="1"/>
  <c r="AH72" i="4" s="1"/>
  <c r="AI72" i="4" s="1"/>
  <c r="AJ72" i="4" s="1"/>
  <c r="AK72" i="4" s="1"/>
  <c r="AL72" i="4" s="1"/>
  <c r="AM72" i="4" s="1"/>
  <c r="AM91" i="4" s="1"/>
  <c r="AF42" i="4"/>
  <c r="AE29" i="4"/>
  <c r="AE22" i="4"/>
  <c r="AE23" i="4"/>
  <c r="AE17" i="4"/>
  <c r="AF12" i="4"/>
  <c r="AK76" i="4" l="1"/>
  <c r="AK75" i="4"/>
  <c r="AK77" i="4"/>
  <c r="AM76" i="4"/>
  <c r="AM77" i="4"/>
  <c r="AM75" i="4"/>
  <c r="AM74" i="4"/>
  <c r="AK74" i="4"/>
  <c r="Q57" i="1"/>
  <c r="AH77" i="4"/>
  <c r="AH76" i="4"/>
  <c r="AH75" i="4"/>
  <c r="AH74" i="4"/>
  <c r="AM84" i="4"/>
  <c r="AM83" i="4"/>
  <c r="AM82" i="4"/>
  <c r="AM81" i="4"/>
  <c r="AM80" i="4"/>
  <c r="AM87" i="4"/>
  <c r="AM93" i="4" s="1"/>
  <c r="AL88" i="4"/>
  <c r="AK89" i="4"/>
  <c r="AJ90" i="4"/>
  <c r="AK92" i="4"/>
  <c r="AK91" i="4"/>
  <c r="AG77" i="4"/>
  <c r="AG76" i="4"/>
  <c r="AG75" i="4"/>
  <c r="AG74" i="4"/>
  <c r="AL84" i="4"/>
  <c r="AL83" i="4"/>
  <c r="AL82" i="4"/>
  <c r="AL81" i="4"/>
  <c r="AL80" i="4"/>
  <c r="AF87" i="4"/>
  <c r="AM88" i="4"/>
  <c r="AL89" i="4"/>
  <c r="AK90" i="4"/>
  <c r="AJ92" i="4"/>
  <c r="AJ91" i="4"/>
  <c r="AF77" i="4"/>
  <c r="AF76" i="4"/>
  <c r="AF75" i="4"/>
  <c r="AF74" i="4"/>
  <c r="AK84" i="4"/>
  <c r="AK83" i="4"/>
  <c r="AK82" i="4"/>
  <c r="AK81" i="4"/>
  <c r="AK80" i="4"/>
  <c r="AG87" i="4"/>
  <c r="AF88" i="4"/>
  <c r="AM89" i="4"/>
  <c r="AL90" i="4"/>
  <c r="AI92" i="4"/>
  <c r="AI91" i="4"/>
  <c r="AJ84" i="4"/>
  <c r="AJ83" i="4"/>
  <c r="AJ82" i="4"/>
  <c r="AJ81" i="4"/>
  <c r="AJ80" i="4"/>
  <c r="AH87" i="4"/>
  <c r="AG88" i="4"/>
  <c r="AF89" i="4"/>
  <c r="AM90" i="4"/>
  <c r="AH92" i="4"/>
  <c r="AH91" i="4"/>
  <c r="AL77" i="4"/>
  <c r="AL76" i="4"/>
  <c r="AL75" i="4"/>
  <c r="AL74" i="4"/>
  <c r="AI84" i="4"/>
  <c r="AI83" i="4"/>
  <c r="AI82" i="4"/>
  <c r="AI81" i="4"/>
  <c r="AI80" i="4"/>
  <c r="AI87" i="4"/>
  <c r="AH88" i="4"/>
  <c r="AG89" i="4"/>
  <c r="AF90" i="4"/>
  <c r="AG92" i="4"/>
  <c r="AG91" i="4"/>
  <c r="AH84" i="4"/>
  <c r="AH83" i="4"/>
  <c r="AH82" i="4"/>
  <c r="AH81" i="4"/>
  <c r="AH80" i="4"/>
  <c r="AJ87" i="4"/>
  <c r="AI88" i="4"/>
  <c r="AH89" i="4"/>
  <c r="AG90" i="4"/>
  <c r="AF92" i="4"/>
  <c r="AF91" i="4"/>
  <c r="AJ77" i="4"/>
  <c r="AJ76" i="4"/>
  <c r="AJ75" i="4"/>
  <c r="AJ74" i="4"/>
  <c r="AG84" i="4"/>
  <c r="AG83" i="4"/>
  <c r="AG82" i="4"/>
  <c r="AG81" i="4"/>
  <c r="AG80" i="4"/>
  <c r="AK87" i="4"/>
  <c r="AJ88" i="4"/>
  <c r="AI89" i="4"/>
  <c r="AH90" i="4"/>
  <c r="AM92" i="4"/>
  <c r="AI77" i="4"/>
  <c r="AI76" i="4"/>
  <c r="AI75" i="4"/>
  <c r="AI74" i="4"/>
  <c r="AF84" i="4"/>
  <c r="AF83" i="4"/>
  <c r="AF82" i="4"/>
  <c r="AF81" i="4"/>
  <c r="AF80" i="4"/>
  <c r="AL87" i="4"/>
  <c r="AL93" i="4" s="1"/>
  <c r="AK88" i="4"/>
  <c r="AJ89" i="4"/>
  <c r="AI90" i="4"/>
  <c r="AL92" i="4"/>
  <c r="AL91" i="4"/>
  <c r="AE93" i="4"/>
  <c r="AE85" i="4"/>
  <c r="AE78" i="4"/>
  <c r="AF31" i="4"/>
  <c r="AF30" i="4"/>
  <c r="AF29" i="4"/>
  <c r="AF22" i="4"/>
  <c r="AG42" i="4"/>
  <c r="AG12" i="4"/>
  <c r="AK78" i="4" l="1"/>
  <c r="AM78" i="4"/>
  <c r="AI93" i="4"/>
  <c r="AG93" i="4"/>
  <c r="AH93" i="4"/>
  <c r="AL85" i="4"/>
  <c r="AE94" i="4"/>
  <c r="AM85" i="4"/>
  <c r="AF85" i="4"/>
  <c r="AG85" i="4"/>
  <c r="AF93" i="4"/>
  <c r="AK85" i="4"/>
  <c r="AH85" i="4"/>
  <c r="AJ85" i="4"/>
  <c r="AK93" i="4"/>
  <c r="AI85" i="4"/>
  <c r="AL78" i="4"/>
  <c r="AI78" i="4"/>
  <c r="AJ78" i="4"/>
  <c r="AF78" i="4"/>
  <c r="AG78" i="4"/>
  <c r="AJ93" i="4"/>
  <c r="AH78" i="4"/>
  <c r="AG17" i="4"/>
  <c r="AG20" i="4"/>
  <c r="AG22" i="4"/>
  <c r="AG29" i="4"/>
  <c r="AG30" i="4"/>
  <c r="AG31" i="4"/>
  <c r="AG32" i="4"/>
  <c r="AH42" i="4"/>
  <c r="AI42" i="4" s="1"/>
  <c r="AJ42" i="4" s="1"/>
  <c r="AK42" i="4" s="1"/>
  <c r="AL42" i="4" s="1"/>
  <c r="AH12" i="4"/>
  <c r="M27" i="1"/>
  <c r="J27" i="1"/>
  <c r="Q82" i="4"/>
  <c r="C82" i="4"/>
  <c r="Q22" i="4"/>
  <c r="AM94" i="4" l="1"/>
  <c r="AL94" i="4"/>
  <c r="AL104" i="4" s="1"/>
  <c r="AG94" i="4"/>
  <c r="AG104" i="4" s="1"/>
  <c r="AM104" i="4"/>
  <c r="AH94" i="4"/>
  <c r="AE104" i="4"/>
  <c r="AF94" i="4"/>
  <c r="AF104" i="4" s="1"/>
  <c r="AK94" i="4"/>
  <c r="AI94" i="4"/>
  <c r="AI104" i="4" s="1"/>
  <c r="AJ94" i="4"/>
  <c r="AH14" i="4"/>
  <c r="AH15" i="4"/>
  <c r="AH16" i="4"/>
  <c r="AH17" i="4"/>
  <c r="AH20" i="4"/>
  <c r="AH21" i="4"/>
  <c r="AH22" i="4"/>
  <c r="AH23" i="4"/>
  <c r="AH24" i="4"/>
  <c r="AH27" i="4"/>
  <c r="AH28" i="4"/>
  <c r="AH29" i="4"/>
  <c r="AH30" i="4"/>
  <c r="AH31" i="4"/>
  <c r="AH32" i="4"/>
  <c r="AM42" i="4"/>
  <c r="AI12" i="4"/>
  <c r="Q83" i="4"/>
  <c r="C83" i="4"/>
  <c r="M19" i="1"/>
  <c r="J19" i="1"/>
  <c r="C19" i="1"/>
  <c r="M28" i="1"/>
  <c r="J28" i="1"/>
  <c r="C28" i="1"/>
  <c r="Q23" i="4"/>
  <c r="C23" i="4"/>
  <c r="AK104" i="4" l="1"/>
  <c r="AH104" i="4"/>
  <c r="AJ104" i="4"/>
  <c r="AI27" i="4"/>
  <c r="AI28" i="4"/>
  <c r="AI29" i="4"/>
  <c r="AI30" i="4"/>
  <c r="AI31" i="4"/>
  <c r="AI32" i="4"/>
  <c r="AI14" i="4"/>
  <c r="AI15" i="4"/>
  <c r="AI16" i="4"/>
  <c r="AI17" i="4"/>
  <c r="AI20" i="4"/>
  <c r="AI21" i="4"/>
  <c r="AI22" i="4"/>
  <c r="AI23" i="4"/>
  <c r="AI24" i="4"/>
  <c r="AJ12" i="4"/>
  <c r="AH33" i="4"/>
  <c r="AH25" i="4"/>
  <c r="AH18" i="4"/>
  <c r="F42" i="3"/>
  <c r="K105" i="3"/>
  <c r="J105" i="3"/>
  <c r="I105" i="3"/>
  <c r="F105" i="3"/>
  <c r="Q26" i="1" l="1"/>
  <c r="AJ27" i="4"/>
  <c r="AJ28" i="4"/>
  <c r="AJ29" i="4"/>
  <c r="AJ30" i="4"/>
  <c r="AJ31" i="4"/>
  <c r="AJ32" i="4"/>
  <c r="AJ14" i="4"/>
  <c r="AJ15" i="4"/>
  <c r="AJ16" i="4"/>
  <c r="AJ17" i="4"/>
  <c r="AJ20" i="4"/>
  <c r="AJ21" i="4"/>
  <c r="AJ22" i="4"/>
  <c r="AJ23" i="4"/>
  <c r="AJ24" i="4"/>
  <c r="AI33" i="4"/>
  <c r="AH34" i="4"/>
  <c r="AI18" i="4"/>
  <c r="AK12" i="4"/>
  <c r="AI25" i="4"/>
  <c r="M105" i="3"/>
  <c r="L105" i="3"/>
  <c r="F40" i="3"/>
  <c r="AK20" i="4" l="1"/>
  <c r="AK21" i="4"/>
  <c r="AK22" i="4"/>
  <c r="AK23" i="4"/>
  <c r="AK24" i="4"/>
  <c r="AK27" i="4"/>
  <c r="AK28" i="4"/>
  <c r="AK29" i="4"/>
  <c r="AK30" i="4"/>
  <c r="AK31" i="4"/>
  <c r="AK32" i="4"/>
  <c r="AK14" i="4"/>
  <c r="AK15" i="4"/>
  <c r="AK16" i="4"/>
  <c r="AK17" i="4"/>
  <c r="AJ33" i="4"/>
  <c r="AJ25" i="4"/>
  <c r="AJ18" i="4"/>
  <c r="AI34" i="4"/>
  <c r="AL12" i="4"/>
  <c r="AL20" i="4" l="1"/>
  <c r="AL21" i="4"/>
  <c r="AL22" i="4"/>
  <c r="AL23" i="4"/>
  <c r="AL24" i="4"/>
  <c r="AL27" i="4"/>
  <c r="AL33" i="4" s="1"/>
  <c r="AL28" i="4"/>
  <c r="AL29" i="4"/>
  <c r="AL30" i="4"/>
  <c r="AL31" i="4"/>
  <c r="AL32" i="4"/>
  <c r="AL14" i="4"/>
  <c r="AL15" i="4"/>
  <c r="AL16" i="4"/>
  <c r="AL17" i="4"/>
  <c r="AJ34" i="4"/>
  <c r="AK18" i="4"/>
  <c r="AK33" i="4"/>
  <c r="AK25" i="4"/>
  <c r="AM12" i="4"/>
  <c r="F38" i="3"/>
  <c r="K9" i="3"/>
  <c r="J9" i="3"/>
  <c r="M9" i="3" s="1"/>
  <c r="I9" i="3"/>
  <c r="F9" i="3"/>
  <c r="C13" i="6"/>
  <c r="F33" i="3"/>
  <c r="F34" i="3"/>
  <c r="AM20" i="4" l="1"/>
  <c r="AM21" i="4"/>
  <c r="AM22" i="4"/>
  <c r="AM23" i="4"/>
  <c r="AM24" i="4"/>
  <c r="AM27" i="4"/>
  <c r="AM33" i="4" s="1"/>
  <c r="AM28" i="4"/>
  <c r="AM29" i="4"/>
  <c r="AM30" i="4"/>
  <c r="AM31" i="4"/>
  <c r="AM32" i="4"/>
  <c r="AM14" i="4"/>
  <c r="AM15" i="4"/>
  <c r="AM16" i="4"/>
  <c r="AM17" i="4"/>
  <c r="AL18" i="4"/>
  <c r="AL25" i="4"/>
  <c r="AK34" i="4"/>
  <c r="L9" i="3"/>
  <c r="F165" i="3"/>
  <c r="AL34" i="4" l="1"/>
  <c r="AM18" i="4"/>
  <c r="AM25" i="4"/>
  <c r="AM34" i="4" l="1"/>
  <c r="C9" i="6" l="1"/>
  <c r="K148" i="3"/>
  <c r="J148" i="3"/>
  <c r="M148" i="3" s="1"/>
  <c r="I148" i="3"/>
  <c r="F148" i="3"/>
  <c r="L148" i="3" l="1"/>
  <c r="C5" i="6" l="1"/>
  <c r="C27" i="1" l="1"/>
  <c r="F32" i="3"/>
  <c r="F30" i="3" l="1"/>
  <c r="F31" i="3"/>
  <c r="F28" i="3"/>
  <c r="C22" i="4" l="1"/>
  <c r="F29" i="3" l="1"/>
  <c r="F27" i="3"/>
  <c r="F26" i="3"/>
  <c r="C6" i="6" l="1"/>
  <c r="F25" i="3" l="1"/>
  <c r="Q14" i="4"/>
  <c r="F24" i="3"/>
  <c r="C21" i="6" l="1"/>
  <c r="C22" i="6"/>
  <c r="C23" i="6"/>
  <c r="C24" i="6"/>
  <c r="C28" i="6"/>
  <c r="C20" i="6"/>
  <c r="C7" i="6"/>
  <c r="C8" i="6"/>
  <c r="J29" i="1"/>
  <c r="C29" i="1"/>
  <c r="F104" i="3" l="1"/>
  <c r="I104" i="3"/>
  <c r="J104" i="3"/>
  <c r="L104" i="3" s="1"/>
  <c r="K104" i="3"/>
  <c r="F107" i="3"/>
  <c r="I107" i="3"/>
  <c r="J107" i="3"/>
  <c r="L107" i="3" s="1"/>
  <c r="K107" i="3"/>
  <c r="F108" i="3"/>
  <c r="I108" i="3"/>
  <c r="J108" i="3"/>
  <c r="M108" i="3" s="1"/>
  <c r="K108" i="3"/>
  <c r="F109" i="3"/>
  <c r="I109" i="3"/>
  <c r="J109" i="3"/>
  <c r="L109" i="3" s="1"/>
  <c r="K109" i="3"/>
  <c r="F110" i="3"/>
  <c r="I110" i="3"/>
  <c r="J110" i="3"/>
  <c r="L110" i="3" s="1"/>
  <c r="K110" i="3"/>
  <c r="F111" i="3"/>
  <c r="I111" i="3"/>
  <c r="J111" i="3"/>
  <c r="M111" i="3" s="1"/>
  <c r="K111" i="3"/>
  <c r="F112" i="3"/>
  <c r="I112" i="3"/>
  <c r="J112" i="3"/>
  <c r="M112" i="3" s="1"/>
  <c r="K112" i="3"/>
  <c r="F113" i="3"/>
  <c r="I113" i="3"/>
  <c r="J113" i="3"/>
  <c r="L113" i="3" s="1"/>
  <c r="K113" i="3"/>
  <c r="F114" i="3"/>
  <c r="I114" i="3"/>
  <c r="J114" i="3"/>
  <c r="L114" i="3" s="1"/>
  <c r="K114" i="3"/>
  <c r="F115" i="3"/>
  <c r="I115" i="3"/>
  <c r="J115" i="3"/>
  <c r="L115" i="3" s="1"/>
  <c r="K115" i="3"/>
  <c r="F116" i="3"/>
  <c r="I116" i="3"/>
  <c r="J116" i="3"/>
  <c r="L116" i="3" s="1"/>
  <c r="K116" i="3"/>
  <c r="F117" i="3"/>
  <c r="I117" i="3"/>
  <c r="J117" i="3"/>
  <c r="L117" i="3" s="1"/>
  <c r="K117" i="3"/>
  <c r="F118" i="3"/>
  <c r="I118" i="3"/>
  <c r="J118" i="3"/>
  <c r="L118" i="3" s="1"/>
  <c r="K118" i="3"/>
  <c r="F119" i="3"/>
  <c r="I119" i="3"/>
  <c r="J119" i="3"/>
  <c r="L119" i="3" s="1"/>
  <c r="K119" i="3"/>
  <c r="F120" i="3"/>
  <c r="I120" i="3"/>
  <c r="J120" i="3"/>
  <c r="M120" i="3" s="1"/>
  <c r="K120" i="3"/>
  <c r="F121" i="3"/>
  <c r="I121" i="3"/>
  <c r="J121" i="3"/>
  <c r="L121" i="3" s="1"/>
  <c r="K121" i="3"/>
  <c r="F122" i="3"/>
  <c r="I122" i="3"/>
  <c r="J122" i="3"/>
  <c r="L122" i="3" s="1"/>
  <c r="K122" i="3"/>
  <c r="F123" i="3"/>
  <c r="I123" i="3"/>
  <c r="J123" i="3"/>
  <c r="L123" i="3" s="1"/>
  <c r="K123" i="3"/>
  <c r="F124" i="3"/>
  <c r="I124" i="3"/>
  <c r="J124" i="3"/>
  <c r="L124" i="3" s="1"/>
  <c r="K124" i="3"/>
  <c r="F125" i="3"/>
  <c r="I125" i="3"/>
  <c r="J125" i="3"/>
  <c r="L125" i="3" s="1"/>
  <c r="K125" i="3"/>
  <c r="F126" i="3"/>
  <c r="I126" i="3"/>
  <c r="J126" i="3"/>
  <c r="L126" i="3" s="1"/>
  <c r="K126" i="3"/>
  <c r="F127" i="3"/>
  <c r="I127" i="3"/>
  <c r="J127" i="3"/>
  <c r="L127" i="3" s="1"/>
  <c r="K127" i="3"/>
  <c r="F128" i="3"/>
  <c r="I128" i="3"/>
  <c r="J128" i="3"/>
  <c r="L128" i="3" s="1"/>
  <c r="K128" i="3"/>
  <c r="F8" i="3"/>
  <c r="I8" i="3"/>
  <c r="J8" i="3"/>
  <c r="L8" i="3" s="1"/>
  <c r="K8" i="3"/>
  <c r="F13" i="3"/>
  <c r="I13" i="3"/>
  <c r="J13" i="3"/>
  <c r="M13" i="3" s="1"/>
  <c r="K13" i="3"/>
  <c r="F14" i="3"/>
  <c r="I14" i="3"/>
  <c r="J14" i="3"/>
  <c r="L14" i="3" s="1"/>
  <c r="K14" i="3"/>
  <c r="F15" i="3"/>
  <c r="I15" i="3"/>
  <c r="J15" i="3"/>
  <c r="L15" i="3" s="1"/>
  <c r="K15" i="3"/>
  <c r="F16" i="3"/>
  <c r="I16" i="3"/>
  <c r="J16" i="3"/>
  <c r="L16" i="3" s="1"/>
  <c r="K16" i="3"/>
  <c r="F19" i="3"/>
  <c r="I19" i="3"/>
  <c r="J19" i="3"/>
  <c r="L19" i="3" s="1"/>
  <c r="K19" i="3"/>
  <c r="F20" i="3"/>
  <c r="F21" i="3"/>
  <c r="F22" i="3"/>
  <c r="AE31" i="4"/>
  <c r="F23" i="3"/>
  <c r="F37" i="3"/>
  <c r="F39" i="3"/>
  <c r="F41" i="3"/>
  <c r="F56" i="3"/>
  <c r="I56" i="3"/>
  <c r="J56" i="3"/>
  <c r="L56" i="3" s="1"/>
  <c r="K56" i="3"/>
  <c r="F57" i="3"/>
  <c r="I57" i="3"/>
  <c r="J57" i="3"/>
  <c r="L57" i="3" s="1"/>
  <c r="K57" i="3"/>
  <c r="F59" i="3"/>
  <c r="I59" i="3"/>
  <c r="J59" i="3"/>
  <c r="M59" i="3" s="1"/>
  <c r="K59" i="3"/>
  <c r="F60" i="3"/>
  <c r="I60" i="3"/>
  <c r="J60" i="3"/>
  <c r="L60" i="3" s="1"/>
  <c r="K60" i="3"/>
  <c r="F61" i="3"/>
  <c r="I61" i="3"/>
  <c r="J61" i="3"/>
  <c r="L61" i="3" s="1"/>
  <c r="K61" i="3"/>
  <c r="F62" i="3"/>
  <c r="I62" i="3"/>
  <c r="J62" i="3"/>
  <c r="L62" i="3" s="1"/>
  <c r="K62" i="3"/>
  <c r="F63" i="3"/>
  <c r="I63" i="3"/>
  <c r="J63" i="3"/>
  <c r="L63" i="3" s="1"/>
  <c r="K63" i="3"/>
  <c r="AF28" i="4"/>
  <c r="F90" i="3"/>
  <c r="I90" i="3"/>
  <c r="J90" i="3"/>
  <c r="L90" i="3" s="1"/>
  <c r="K90" i="3"/>
  <c r="F136" i="3"/>
  <c r="I136" i="3"/>
  <c r="J136" i="3"/>
  <c r="M136" i="3" s="1"/>
  <c r="K136" i="3"/>
  <c r="F137" i="3"/>
  <c r="I137" i="3"/>
  <c r="J137" i="3"/>
  <c r="L137" i="3" s="1"/>
  <c r="K137" i="3"/>
  <c r="F146" i="3"/>
  <c r="I146" i="3"/>
  <c r="J146" i="3"/>
  <c r="L146" i="3" s="1"/>
  <c r="K146" i="3"/>
  <c r="F147" i="3"/>
  <c r="I147" i="3"/>
  <c r="J147" i="3"/>
  <c r="L147" i="3" s="1"/>
  <c r="K147" i="3"/>
  <c r="F149" i="3"/>
  <c r="I149" i="3"/>
  <c r="J149" i="3"/>
  <c r="L149" i="3" s="1"/>
  <c r="K149" i="3"/>
  <c r="F150" i="3"/>
  <c r="I150" i="3"/>
  <c r="J150" i="3"/>
  <c r="L150" i="3" s="1"/>
  <c r="K150" i="3"/>
  <c r="F151" i="3"/>
  <c r="I151" i="3"/>
  <c r="J151" i="3"/>
  <c r="L151" i="3" s="1"/>
  <c r="K151" i="3"/>
  <c r="F152" i="3"/>
  <c r="I152" i="3"/>
  <c r="J152" i="3"/>
  <c r="L152" i="3" s="1"/>
  <c r="K152" i="3"/>
  <c r="F153" i="3"/>
  <c r="I153" i="3"/>
  <c r="J153" i="3"/>
  <c r="M153" i="3" s="1"/>
  <c r="K153" i="3"/>
  <c r="F154" i="3"/>
  <c r="I154" i="3"/>
  <c r="J154" i="3"/>
  <c r="L154" i="3" s="1"/>
  <c r="K154" i="3"/>
  <c r="F155" i="3"/>
  <c r="I155" i="3"/>
  <c r="J155" i="3"/>
  <c r="L155" i="3" s="1"/>
  <c r="K155" i="3"/>
  <c r="F156" i="3"/>
  <c r="I156" i="3"/>
  <c r="J156" i="3"/>
  <c r="L156" i="3" s="1"/>
  <c r="K156" i="3"/>
  <c r="F157" i="3"/>
  <c r="I157" i="3"/>
  <c r="J157" i="3"/>
  <c r="L157" i="3" s="1"/>
  <c r="K157" i="3"/>
  <c r="F158" i="3"/>
  <c r="I158" i="3"/>
  <c r="J158" i="3"/>
  <c r="L158" i="3" s="1"/>
  <c r="K158" i="3"/>
  <c r="F159" i="3"/>
  <c r="I159" i="3"/>
  <c r="J159" i="3"/>
  <c r="L159" i="3" s="1"/>
  <c r="K159" i="3"/>
  <c r="F160" i="3"/>
  <c r="I160" i="3"/>
  <c r="J160" i="3"/>
  <c r="L160" i="3" s="1"/>
  <c r="K160" i="3"/>
  <c r="F161" i="3"/>
  <c r="I161" i="3"/>
  <c r="J161" i="3"/>
  <c r="M161" i="3" s="1"/>
  <c r="K161" i="3"/>
  <c r="F162" i="3"/>
  <c r="I162" i="3"/>
  <c r="J162" i="3"/>
  <c r="L162" i="3" s="1"/>
  <c r="K162" i="3"/>
  <c r="F163" i="3"/>
  <c r="I163" i="3"/>
  <c r="J163" i="3"/>
  <c r="L163" i="3" s="1"/>
  <c r="K163" i="3"/>
  <c r="F164" i="3"/>
  <c r="I164" i="3"/>
  <c r="J164" i="3"/>
  <c r="L164" i="3" s="1"/>
  <c r="K164" i="3"/>
  <c r="I165" i="3"/>
  <c r="J165" i="3"/>
  <c r="L165" i="3" s="1"/>
  <c r="K165" i="3"/>
  <c r="F166" i="3"/>
  <c r="I166" i="3"/>
  <c r="J166" i="3"/>
  <c r="L166" i="3" s="1"/>
  <c r="K166" i="3"/>
  <c r="F167" i="3"/>
  <c r="I167" i="3"/>
  <c r="J167" i="3"/>
  <c r="M167" i="3" s="1"/>
  <c r="K167" i="3"/>
  <c r="F168" i="3"/>
  <c r="I168" i="3"/>
  <c r="J168" i="3"/>
  <c r="L168" i="3" s="1"/>
  <c r="K168" i="3"/>
  <c r="F169" i="3"/>
  <c r="I169" i="3"/>
  <c r="J169" i="3"/>
  <c r="L169" i="3" s="1"/>
  <c r="K169" i="3"/>
  <c r="F170" i="3"/>
  <c r="I170" i="3"/>
  <c r="J170" i="3"/>
  <c r="L170" i="3" s="1"/>
  <c r="K170" i="3"/>
  <c r="F171" i="3"/>
  <c r="I171" i="3"/>
  <c r="J171" i="3"/>
  <c r="L171" i="3" s="1"/>
  <c r="K171" i="3"/>
  <c r="F172" i="3"/>
  <c r="I172" i="3"/>
  <c r="J172" i="3"/>
  <c r="L172" i="3" s="1"/>
  <c r="K172" i="3"/>
  <c r="F173" i="3"/>
  <c r="I173" i="3"/>
  <c r="J173" i="3"/>
  <c r="L173" i="3" s="1"/>
  <c r="K173" i="3"/>
  <c r="F174" i="3"/>
  <c r="I174" i="3"/>
  <c r="J174" i="3"/>
  <c r="L174" i="3" s="1"/>
  <c r="K174" i="3"/>
  <c r="F175" i="3"/>
  <c r="I175" i="3"/>
  <c r="J175" i="3"/>
  <c r="M175" i="3" s="1"/>
  <c r="K175" i="3"/>
  <c r="F176" i="3"/>
  <c r="I176" i="3"/>
  <c r="J176" i="3"/>
  <c r="L176" i="3" s="1"/>
  <c r="K176" i="3"/>
  <c r="F177" i="3"/>
  <c r="I177" i="3"/>
  <c r="J177" i="3"/>
  <c r="L177" i="3" s="1"/>
  <c r="K177" i="3"/>
  <c r="F178" i="3"/>
  <c r="I178" i="3"/>
  <c r="J178" i="3"/>
  <c r="L178" i="3" s="1"/>
  <c r="K178" i="3"/>
  <c r="F179" i="3"/>
  <c r="I179" i="3"/>
  <c r="J179" i="3"/>
  <c r="L179" i="3" s="1"/>
  <c r="K179" i="3"/>
  <c r="F180" i="3"/>
  <c r="I180" i="3"/>
  <c r="J180" i="3"/>
  <c r="L180" i="3" s="1"/>
  <c r="K180" i="3"/>
  <c r="F181" i="3"/>
  <c r="I181" i="3"/>
  <c r="J181" i="3"/>
  <c r="L181" i="3" s="1"/>
  <c r="K181" i="3"/>
  <c r="F182" i="3"/>
  <c r="I182" i="3"/>
  <c r="J182" i="3"/>
  <c r="L182" i="3" s="1"/>
  <c r="K182" i="3"/>
  <c r="F183" i="3"/>
  <c r="I183" i="3"/>
  <c r="J183" i="3"/>
  <c r="M183" i="3" s="1"/>
  <c r="K183" i="3"/>
  <c r="F184" i="3"/>
  <c r="I184" i="3"/>
  <c r="J184" i="3"/>
  <c r="L184" i="3" s="1"/>
  <c r="K184" i="3"/>
  <c r="F185" i="3"/>
  <c r="I185" i="3"/>
  <c r="J185" i="3"/>
  <c r="L185" i="3" s="1"/>
  <c r="K185" i="3"/>
  <c r="F186" i="3"/>
  <c r="I186" i="3"/>
  <c r="J186" i="3"/>
  <c r="L186" i="3" s="1"/>
  <c r="K186" i="3"/>
  <c r="F187" i="3"/>
  <c r="I187" i="3"/>
  <c r="J187" i="3"/>
  <c r="L187" i="3" s="1"/>
  <c r="K187" i="3"/>
  <c r="F188" i="3"/>
  <c r="I188" i="3"/>
  <c r="J188" i="3"/>
  <c r="L188" i="3" s="1"/>
  <c r="K188" i="3"/>
  <c r="F189" i="3"/>
  <c r="I189" i="3"/>
  <c r="J189" i="3"/>
  <c r="L189" i="3" s="1"/>
  <c r="K189" i="3"/>
  <c r="F190" i="3"/>
  <c r="I190" i="3"/>
  <c r="J190" i="3"/>
  <c r="L190" i="3" s="1"/>
  <c r="K190" i="3"/>
  <c r="F191" i="3"/>
  <c r="I191" i="3"/>
  <c r="J191" i="3"/>
  <c r="M191" i="3" s="1"/>
  <c r="K191" i="3"/>
  <c r="F192" i="3"/>
  <c r="I192" i="3"/>
  <c r="J192" i="3"/>
  <c r="L192" i="3" s="1"/>
  <c r="K192" i="3"/>
  <c r="F193" i="3"/>
  <c r="I193" i="3"/>
  <c r="J193" i="3"/>
  <c r="L193" i="3" s="1"/>
  <c r="K193" i="3"/>
  <c r="F194" i="3"/>
  <c r="I194" i="3"/>
  <c r="J194" i="3"/>
  <c r="L194" i="3" s="1"/>
  <c r="K194" i="3"/>
  <c r="F195" i="3"/>
  <c r="I195" i="3"/>
  <c r="J195" i="3"/>
  <c r="L195" i="3" s="1"/>
  <c r="K195" i="3"/>
  <c r="F196" i="3"/>
  <c r="I196" i="3"/>
  <c r="J196" i="3"/>
  <c r="L196" i="3" s="1"/>
  <c r="K196" i="3"/>
  <c r="F197" i="3"/>
  <c r="I197" i="3"/>
  <c r="J197" i="3"/>
  <c r="L197" i="3" s="1"/>
  <c r="K197" i="3"/>
  <c r="F198" i="3"/>
  <c r="I198" i="3"/>
  <c r="J198" i="3"/>
  <c r="L198" i="3" s="1"/>
  <c r="K198" i="3"/>
  <c r="F199" i="3"/>
  <c r="I199" i="3"/>
  <c r="J199" i="3"/>
  <c r="M199" i="3" s="1"/>
  <c r="K199" i="3"/>
  <c r="F200" i="3"/>
  <c r="I200" i="3"/>
  <c r="J200" i="3"/>
  <c r="L200" i="3" s="1"/>
  <c r="K200" i="3"/>
  <c r="F201" i="3"/>
  <c r="I201" i="3"/>
  <c r="J201" i="3"/>
  <c r="L201" i="3" s="1"/>
  <c r="K201" i="3"/>
  <c r="F202" i="3"/>
  <c r="I202" i="3"/>
  <c r="J202" i="3"/>
  <c r="L202" i="3" s="1"/>
  <c r="K202" i="3"/>
  <c r="D19" i="6"/>
  <c r="D25" i="6" s="1"/>
  <c r="D27" i="6" l="1"/>
  <c r="D26" i="6"/>
  <c r="T34" i="1"/>
  <c r="AG28" i="4"/>
  <c r="D20" i="6"/>
  <c r="D24" i="6"/>
  <c r="D23" i="6"/>
  <c r="D22" i="6"/>
  <c r="D21" i="6"/>
  <c r="D28" i="6"/>
  <c r="E19" i="6"/>
  <c r="E25" i="6" s="1"/>
  <c r="L111" i="3"/>
  <c r="L199" i="3"/>
  <c r="L191" i="3"/>
  <c r="L183" i="3"/>
  <c r="L175" i="3"/>
  <c r="L167" i="3"/>
  <c r="L161" i="3"/>
  <c r="L153" i="3"/>
  <c r="L136" i="3"/>
  <c r="L59" i="3"/>
  <c r="L13" i="3"/>
  <c r="L120" i="3"/>
  <c r="L112" i="3"/>
  <c r="L108" i="3"/>
  <c r="M200" i="3"/>
  <c r="M196" i="3"/>
  <c r="M192" i="3"/>
  <c r="M188" i="3"/>
  <c r="M184" i="3"/>
  <c r="M180" i="3"/>
  <c r="M176" i="3"/>
  <c r="M172" i="3"/>
  <c r="M168" i="3"/>
  <c r="M165" i="3"/>
  <c r="M162" i="3"/>
  <c r="M158" i="3"/>
  <c r="M154" i="3"/>
  <c r="M150" i="3"/>
  <c r="M137" i="3"/>
  <c r="M60" i="3"/>
  <c r="AE32" i="4"/>
  <c r="AE27" i="4"/>
  <c r="M14" i="3"/>
  <c r="AE16" i="4" s="1"/>
  <c r="M127" i="3"/>
  <c r="M121" i="3"/>
  <c r="M117" i="3"/>
  <c r="M113" i="3"/>
  <c r="M109" i="3"/>
  <c r="M201" i="3"/>
  <c r="M197" i="3"/>
  <c r="M193" i="3"/>
  <c r="M189" i="3"/>
  <c r="M185" i="3"/>
  <c r="M181" i="3"/>
  <c r="M177" i="3"/>
  <c r="M173" i="3"/>
  <c r="M169" i="3"/>
  <c r="M163" i="3"/>
  <c r="M159" i="3"/>
  <c r="F27" i="1" s="1"/>
  <c r="M155" i="3"/>
  <c r="M151" i="3"/>
  <c r="M146" i="3"/>
  <c r="M90" i="3"/>
  <c r="AF32" i="4" s="1"/>
  <c r="M61" i="3"/>
  <c r="M56" i="3"/>
  <c r="AE28" i="4"/>
  <c r="M15" i="3"/>
  <c r="M128" i="3"/>
  <c r="M124" i="3"/>
  <c r="AE24" i="4" s="1"/>
  <c r="M123" i="3"/>
  <c r="M122" i="3"/>
  <c r="M118" i="3"/>
  <c r="M114" i="3"/>
  <c r="M110" i="3"/>
  <c r="M104" i="3"/>
  <c r="M202" i="3"/>
  <c r="M198" i="3"/>
  <c r="M194" i="3"/>
  <c r="M190" i="3"/>
  <c r="M186" i="3"/>
  <c r="M182" i="3"/>
  <c r="M178" i="3"/>
  <c r="M174" i="3"/>
  <c r="M170" i="3"/>
  <c r="M166" i="3"/>
  <c r="M164" i="3"/>
  <c r="M160" i="3"/>
  <c r="M156" i="3"/>
  <c r="M152" i="3"/>
  <c r="M147" i="3"/>
  <c r="AF27" i="4"/>
  <c r="AF16" i="4"/>
  <c r="AF24" i="4"/>
  <c r="M62" i="3"/>
  <c r="M57" i="3"/>
  <c r="AE30" i="4"/>
  <c r="M16" i="3"/>
  <c r="M8" i="3"/>
  <c r="M125" i="3"/>
  <c r="M119" i="3"/>
  <c r="M115" i="3"/>
  <c r="M195" i="3"/>
  <c r="M187" i="3"/>
  <c r="M179" i="3"/>
  <c r="M171" i="3"/>
  <c r="M157" i="3"/>
  <c r="M149" i="3"/>
  <c r="M63" i="3"/>
  <c r="AF20" i="4" s="1"/>
  <c r="M19" i="3"/>
  <c r="M126" i="3"/>
  <c r="Q37" i="4" s="1"/>
  <c r="M116" i="3"/>
  <c r="C16" i="1"/>
  <c r="AG14" i="4" l="1"/>
  <c r="AE20" i="4"/>
  <c r="T25" i="1"/>
  <c r="E27" i="6"/>
  <c r="E26" i="6"/>
  <c r="T46" i="1"/>
  <c r="T45" i="1"/>
  <c r="M16" i="1"/>
  <c r="AF33" i="4"/>
  <c r="T18" i="1"/>
  <c r="AG16" i="4"/>
  <c r="T17" i="1"/>
  <c r="AG15" i="4"/>
  <c r="T20" i="1"/>
  <c r="AF14" i="4"/>
  <c r="T33" i="1"/>
  <c r="AG27" i="4"/>
  <c r="AG33" i="4" s="1"/>
  <c r="F19" i="1"/>
  <c r="T19" i="1"/>
  <c r="AE14" i="4"/>
  <c r="AE15" i="4"/>
  <c r="T16" i="1"/>
  <c r="AE33" i="4"/>
  <c r="F29" i="1"/>
  <c r="C57" i="1" s="1"/>
  <c r="AF23" i="4"/>
  <c r="F28" i="1"/>
  <c r="T28" i="1"/>
  <c r="AG23" i="4"/>
  <c r="AF21" i="4"/>
  <c r="T29" i="1"/>
  <c r="AG24" i="4"/>
  <c r="AE21" i="4"/>
  <c r="AF15" i="4"/>
  <c r="T26" i="1"/>
  <c r="AG21" i="4"/>
  <c r="M29" i="1"/>
  <c r="J56" i="1" s="1"/>
  <c r="E20" i="6"/>
  <c r="E24" i="6"/>
  <c r="E23" i="6"/>
  <c r="E22" i="6"/>
  <c r="E21" i="6"/>
  <c r="E28" i="6"/>
  <c r="F19" i="6"/>
  <c r="F25" i="6" s="1"/>
  <c r="D4" i="6"/>
  <c r="AE25" i="4" l="1"/>
  <c r="F27" i="6"/>
  <c r="F26" i="6"/>
  <c r="D11" i="6"/>
  <c r="D10" i="6"/>
  <c r="D13" i="6"/>
  <c r="D12" i="6"/>
  <c r="T47" i="1"/>
  <c r="AG18" i="4"/>
  <c r="T38" i="1"/>
  <c r="Q55" i="1"/>
  <c r="AG25" i="4"/>
  <c r="AF25" i="4"/>
  <c r="T22" i="1"/>
  <c r="Q52" i="1"/>
  <c r="Q54" i="1"/>
  <c r="T30" i="1"/>
  <c r="AE18" i="4"/>
  <c r="AE34" i="4" s="1"/>
  <c r="Q53" i="1"/>
  <c r="Q56" i="1"/>
  <c r="D9" i="6"/>
  <c r="F21" i="6"/>
  <c r="F28" i="6"/>
  <c r="F20" i="6"/>
  <c r="F24" i="6"/>
  <c r="F23" i="6"/>
  <c r="F22" i="6"/>
  <c r="D7" i="6"/>
  <c r="D8" i="6"/>
  <c r="D6" i="6"/>
  <c r="D5" i="6"/>
  <c r="G19" i="6"/>
  <c r="G25" i="6" s="1"/>
  <c r="E4" i="6"/>
  <c r="E14" i="1"/>
  <c r="C89" i="4"/>
  <c r="Q89" i="4"/>
  <c r="C84" i="4"/>
  <c r="Q84" i="4"/>
  <c r="C29" i="4"/>
  <c r="Q29" i="4"/>
  <c r="C24" i="4"/>
  <c r="Q24" i="4"/>
  <c r="G27" i="6" l="1"/>
  <c r="G26" i="6"/>
  <c r="E11" i="6"/>
  <c r="E10" i="6"/>
  <c r="E13" i="6"/>
  <c r="E12" i="6"/>
  <c r="AG34" i="4"/>
  <c r="T41" i="1"/>
  <c r="U20" i="1" s="1"/>
  <c r="E27" i="1"/>
  <c r="S46" i="1"/>
  <c r="S45" i="1"/>
  <c r="E28" i="1"/>
  <c r="E19" i="1"/>
  <c r="E29" i="1"/>
  <c r="H19" i="6"/>
  <c r="H25" i="6" s="1"/>
  <c r="E9" i="6"/>
  <c r="E7" i="6"/>
  <c r="E8" i="6"/>
  <c r="E6" i="6"/>
  <c r="E5" i="6"/>
  <c r="G21" i="6"/>
  <c r="G28" i="6"/>
  <c r="G20" i="6"/>
  <c r="G24" i="6"/>
  <c r="G23" i="6"/>
  <c r="G22" i="6"/>
  <c r="F4" i="6"/>
  <c r="H21" i="6" l="1"/>
  <c r="H26" i="6"/>
  <c r="H24" i="6"/>
  <c r="H27" i="6"/>
  <c r="F11" i="6"/>
  <c r="F10" i="6"/>
  <c r="I19" i="6"/>
  <c r="I25" i="6" s="1"/>
  <c r="F13" i="6"/>
  <c r="F12" i="6"/>
  <c r="H23" i="6"/>
  <c r="H20" i="6"/>
  <c r="H28" i="6"/>
  <c r="H22" i="6"/>
  <c r="U33" i="1"/>
  <c r="U28" i="1"/>
  <c r="U18" i="1"/>
  <c r="U35" i="1"/>
  <c r="U25" i="1"/>
  <c r="U27" i="1"/>
  <c r="U16" i="1"/>
  <c r="U19" i="1"/>
  <c r="U17" i="1"/>
  <c r="U21" i="1"/>
  <c r="U26" i="1"/>
  <c r="U29" i="1"/>
  <c r="U34" i="1"/>
  <c r="U36" i="1"/>
  <c r="U37" i="1"/>
  <c r="F9" i="6"/>
  <c r="F5" i="6"/>
  <c r="F7" i="6"/>
  <c r="F8" i="6"/>
  <c r="F6" i="6"/>
  <c r="I22" i="6"/>
  <c r="I21" i="6"/>
  <c r="I28" i="6"/>
  <c r="I20" i="6"/>
  <c r="I24" i="6"/>
  <c r="I23" i="6"/>
  <c r="G4" i="6"/>
  <c r="H17" i="2"/>
  <c r="C21" i="1"/>
  <c r="J21" i="1"/>
  <c r="M21" i="1"/>
  <c r="C77" i="4"/>
  <c r="Q77" i="4"/>
  <c r="Q17" i="4"/>
  <c r="H46" i="2"/>
  <c r="J80" i="3" s="1"/>
  <c r="L80" i="3" l="1"/>
  <c r="M80" i="3"/>
  <c r="AF17" i="4" s="1"/>
  <c r="AF18" i="4" s="1"/>
  <c r="AF34" i="4" s="1"/>
  <c r="I27" i="6"/>
  <c r="I26" i="6"/>
  <c r="G11" i="6"/>
  <c r="G10" i="6"/>
  <c r="G13" i="6"/>
  <c r="G12" i="6"/>
  <c r="G9" i="6"/>
  <c r="G5" i="6"/>
  <c r="G7" i="6"/>
  <c r="G8" i="6"/>
  <c r="G6" i="6"/>
  <c r="H4" i="6"/>
  <c r="Q98" i="4"/>
  <c r="Q97" i="4"/>
  <c r="C98" i="4"/>
  <c r="C97" i="4"/>
  <c r="Q28" i="4"/>
  <c r="Q30" i="4"/>
  <c r="Q31" i="4"/>
  <c r="Q32" i="4"/>
  <c r="Q88" i="4"/>
  <c r="Q90" i="4"/>
  <c r="Q91" i="4"/>
  <c r="Q92" i="4"/>
  <c r="C88" i="4"/>
  <c r="C90" i="4"/>
  <c r="C91" i="4"/>
  <c r="C92" i="4"/>
  <c r="J46" i="1"/>
  <c r="J45" i="1"/>
  <c r="M35" i="1"/>
  <c r="J34" i="1"/>
  <c r="M34" i="1"/>
  <c r="J35" i="1"/>
  <c r="J36" i="1"/>
  <c r="M36" i="1"/>
  <c r="J37" i="1"/>
  <c r="M37" i="1"/>
  <c r="C34" i="1"/>
  <c r="C35" i="1"/>
  <c r="C36" i="1"/>
  <c r="C37" i="1"/>
  <c r="C46" i="1"/>
  <c r="C45" i="1"/>
  <c r="F14" i="1"/>
  <c r="H11" i="6" l="1"/>
  <c r="H10" i="6"/>
  <c r="H13" i="6"/>
  <c r="H12" i="6"/>
  <c r="J57" i="1"/>
  <c r="H9" i="6"/>
  <c r="H6" i="6"/>
  <c r="H5" i="6"/>
  <c r="H7" i="6"/>
  <c r="H8" i="6"/>
  <c r="I4" i="6"/>
  <c r="Q99" i="4"/>
  <c r="C99" i="4"/>
  <c r="I11" i="6" l="1"/>
  <c r="I10" i="6"/>
  <c r="I13" i="6"/>
  <c r="I12" i="6"/>
  <c r="I9" i="6"/>
  <c r="I6" i="6"/>
  <c r="I5" i="6"/>
  <c r="I7" i="6"/>
  <c r="I8" i="6"/>
  <c r="C17" i="4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R102" i="4" l="1"/>
  <c r="R72" i="4"/>
  <c r="R82" i="4" s="1"/>
  <c r="R42" i="4"/>
  <c r="R12" i="4"/>
  <c r="D102" i="4"/>
  <c r="D72" i="4"/>
  <c r="D82" i="4" s="1"/>
  <c r="D42" i="4"/>
  <c r="D12" i="4"/>
  <c r="D22" i="4" l="1"/>
  <c r="R22" i="4"/>
  <c r="D83" i="4"/>
  <c r="R83" i="4"/>
  <c r="D23" i="4"/>
  <c r="R23" i="4"/>
  <c r="D77" i="4"/>
  <c r="D89" i="4"/>
  <c r="D84" i="4"/>
  <c r="S42" i="4"/>
  <c r="R77" i="4"/>
  <c r="R84" i="4"/>
  <c r="R89" i="4"/>
  <c r="R24" i="4"/>
  <c r="R29" i="4"/>
  <c r="D97" i="4"/>
  <c r="D98" i="4"/>
  <c r="R97" i="4"/>
  <c r="R98" i="4"/>
  <c r="E12" i="4"/>
  <c r="E14" i="4" s="1"/>
  <c r="R32" i="4"/>
  <c r="R31" i="4"/>
  <c r="R30" i="4"/>
  <c r="R28" i="4"/>
  <c r="E72" i="4"/>
  <c r="E82" i="4" s="1"/>
  <c r="D92" i="4"/>
  <c r="D88" i="4"/>
  <c r="D91" i="4"/>
  <c r="D90" i="4"/>
  <c r="S72" i="4"/>
  <c r="S82" i="4" s="1"/>
  <c r="R90" i="4"/>
  <c r="R88" i="4"/>
  <c r="R91" i="4"/>
  <c r="R92" i="4"/>
  <c r="E87" i="4"/>
  <c r="S12" i="4"/>
  <c r="E102" i="4"/>
  <c r="S102" i="4"/>
  <c r="E42" i="4"/>
  <c r="D75" i="4"/>
  <c r="D87" i="4"/>
  <c r="D80" i="4"/>
  <c r="D76" i="4"/>
  <c r="D74" i="4"/>
  <c r="D81" i="4"/>
  <c r="S22" i="4" l="1"/>
  <c r="E22" i="4"/>
  <c r="E83" i="4"/>
  <c r="S83" i="4"/>
  <c r="S23" i="4"/>
  <c r="E23" i="4"/>
  <c r="S89" i="4"/>
  <c r="S84" i="4"/>
  <c r="T42" i="4"/>
  <c r="E77" i="4"/>
  <c r="E89" i="4"/>
  <c r="E84" i="4"/>
  <c r="S17" i="4"/>
  <c r="S29" i="4"/>
  <c r="S24" i="4"/>
  <c r="E17" i="4"/>
  <c r="E29" i="4"/>
  <c r="E24" i="4"/>
  <c r="F12" i="4"/>
  <c r="E20" i="4"/>
  <c r="E16" i="4"/>
  <c r="E81" i="4"/>
  <c r="E27" i="4"/>
  <c r="E76" i="4"/>
  <c r="E21" i="4"/>
  <c r="E15" i="4"/>
  <c r="E74" i="4"/>
  <c r="T72" i="4"/>
  <c r="T82" i="4" s="1"/>
  <c r="S77" i="4"/>
  <c r="E80" i="4"/>
  <c r="D78" i="4"/>
  <c r="S75" i="4"/>
  <c r="S87" i="4"/>
  <c r="S81" i="4"/>
  <c r="S76" i="4"/>
  <c r="S74" i="4"/>
  <c r="S80" i="4"/>
  <c r="D93" i="4"/>
  <c r="D99" i="4"/>
  <c r="S97" i="4"/>
  <c r="S98" i="4"/>
  <c r="R99" i="4"/>
  <c r="F72" i="4"/>
  <c r="E98" i="4"/>
  <c r="E97" i="4"/>
  <c r="F30" i="4"/>
  <c r="F28" i="4"/>
  <c r="F37" i="4"/>
  <c r="F38" i="4"/>
  <c r="F31" i="4"/>
  <c r="F32" i="4"/>
  <c r="S37" i="4"/>
  <c r="S32" i="4"/>
  <c r="S31" i="4"/>
  <c r="S30" i="4"/>
  <c r="S28" i="4"/>
  <c r="S38" i="4"/>
  <c r="E28" i="4"/>
  <c r="E37" i="4"/>
  <c r="E30" i="4"/>
  <c r="E38" i="4"/>
  <c r="E32" i="4"/>
  <c r="E31" i="4"/>
  <c r="F92" i="4"/>
  <c r="F91" i="4"/>
  <c r="S91" i="4"/>
  <c r="S90" i="4"/>
  <c r="S88" i="4"/>
  <c r="S92" i="4"/>
  <c r="E75" i="4"/>
  <c r="T88" i="4"/>
  <c r="E91" i="4"/>
  <c r="E92" i="4"/>
  <c r="E90" i="4"/>
  <c r="E88" i="4"/>
  <c r="F102" i="4"/>
  <c r="U72" i="4"/>
  <c r="U82" i="4" s="1"/>
  <c r="T75" i="4"/>
  <c r="T80" i="4"/>
  <c r="T74" i="4"/>
  <c r="T81" i="4"/>
  <c r="T87" i="4"/>
  <c r="T102" i="4"/>
  <c r="S14" i="4"/>
  <c r="S15" i="4"/>
  <c r="S16" i="4"/>
  <c r="T12" i="4"/>
  <c r="S27" i="4"/>
  <c r="S20" i="4"/>
  <c r="S21" i="4"/>
  <c r="G72" i="4"/>
  <c r="G82" i="4" s="1"/>
  <c r="F74" i="4"/>
  <c r="F76" i="4"/>
  <c r="F81" i="4"/>
  <c r="F75" i="4"/>
  <c r="F87" i="4"/>
  <c r="F80" i="4"/>
  <c r="F15" i="4"/>
  <c r="F20" i="4"/>
  <c r="G12" i="4"/>
  <c r="F27" i="4"/>
  <c r="F14" i="4"/>
  <c r="F16" i="4"/>
  <c r="F21" i="4"/>
  <c r="F42" i="4"/>
  <c r="D85" i="4"/>
  <c r="F22" i="4" l="1"/>
  <c r="T22" i="4"/>
  <c r="G22" i="4"/>
  <c r="E25" i="4"/>
  <c r="S25" i="4"/>
  <c r="F83" i="4"/>
  <c r="F82" i="4"/>
  <c r="G83" i="4"/>
  <c r="T83" i="4"/>
  <c r="U83" i="4"/>
  <c r="F88" i="4"/>
  <c r="F23" i="4"/>
  <c r="G23" i="4"/>
  <c r="T23" i="4"/>
  <c r="E33" i="4"/>
  <c r="E18" i="4"/>
  <c r="S18" i="4"/>
  <c r="F90" i="4"/>
  <c r="G77" i="4"/>
  <c r="G84" i="4"/>
  <c r="G89" i="4"/>
  <c r="T77" i="4"/>
  <c r="T89" i="4"/>
  <c r="T84" i="4"/>
  <c r="U42" i="4"/>
  <c r="U77" i="4"/>
  <c r="U89" i="4"/>
  <c r="U84" i="4"/>
  <c r="F77" i="4"/>
  <c r="F84" i="4"/>
  <c r="F89" i="4"/>
  <c r="T98" i="4"/>
  <c r="F17" i="4"/>
  <c r="F24" i="4"/>
  <c r="F29" i="4"/>
  <c r="F33" i="4" s="1"/>
  <c r="T97" i="4"/>
  <c r="T76" i="4"/>
  <c r="T90" i="4"/>
  <c r="T91" i="4"/>
  <c r="T17" i="4"/>
  <c r="T29" i="4"/>
  <c r="T24" i="4"/>
  <c r="G17" i="4"/>
  <c r="G24" i="4"/>
  <c r="G29" i="4"/>
  <c r="T92" i="4"/>
  <c r="E85" i="4"/>
  <c r="E78" i="4"/>
  <c r="S85" i="4"/>
  <c r="S78" i="4"/>
  <c r="S33" i="4"/>
  <c r="S93" i="4"/>
  <c r="E93" i="4"/>
  <c r="U97" i="4"/>
  <c r="U98" i="4"/>
  <c r="E99" i="4"/>
  <c r="F98" i="4"/>
  <c r="F97" i="4"/>
  <c r="G97" i="4"/>
  <c r="G98" i="4"/>
  <c r="S99" i="4"/>
  <c r="E39" i="4"/>
  <c r="S39" i="4"/>
  <c r="G31" i="4"/>
  <c r="G37" i="4"/>
  <c r="G30" i="4"/>
  <c r="G28" i="4"/>
  <c r="G38" i="4"/>
  <c r="G32" i="4"/>
  <c r="T32" i="4"/>
  <c r="T31" i="4"/>
  <c r="T30" i="4"/>
  <c r="T38" i="4"/>
  <c r="T28" i="4"/>
  <c r="T37" i="4"/>
  <c r="F39" i="4"/>
  <c r="G88" i="4"/>
  <c r="G90" i="4"/>
  <c r="G92" i="4"/>
  <c r="G91" i="4"/>
  <c r="U92" i="4"/>
  <c r="U91" i="4"/>
  <c r="U90" i="4"/>
  <c r="U88" i="4"/>
  <c r="F85" i="4"/>
  <c r="H72" i="4"/>
  <c r="H82" i="4" s="1"/>
  <c r="G80" i="4"/>
  <c r="G74" i="4"/>
  <c r="G76" i="4"/>
  <c r="G81" i="4"/>
  <c r="G75" i="4"/>
  <c r="G87" i="4"/>
  <c r="T85" i="4"/>
  <c r="U12" i="4"/>
  <c r="T20" i="4"/>
  <c r="T21" i="4"/>
  <c r="T14" i="4"/>
  <c r="T15" i="4"/>
  <c r="T16" i="4"/>
  <c r="T27" i="4"/>
  <c r="U102" i="4"/>
  <c r="G102" i="4"/>
  <c r="V72" i="4"/>
  <c r="V82" i="4" s="1"/>
  <c r="U75" i="4"/>
  <c r="U80" i="4"/>
  <c r="U74" i="4"/>
  <c r="U76" i="4"/>
  <c r="U81" i="4"/>
  <c r="U87" i="4"/>
  <c r="H12" i="4"/>
  <c r="G16" i="4"/>
  <c r="G15" i="4"/>
  <c r="G14" i="4"/>
  <c r="G20" i="4"/>
  <c r="G21" i="4"/>
  <c r="G27" i="4"/>
  <c r="G42" i="4"/>
  <c r="D94" i="4"/>
  <c r="U22" i="4" l="1"/>
  <c r="H22" i="4"/>
  <c r="F78" i="4"/>
  <c r="E34" i="4"/>
  <c r="H83" i="4"/>
  <c r="V83" i="4"/>
  <c r="G25" i="4"/>
  <c r="F25" i="4"/>
  <c r="H23" i="4"/>
  <c r="T25" i="4"/>
  <c r="U23" i="4"/>
  <c r="F93" i="4"/>
  <c r="F18" i="4"/>
  <c r="T78" i="4"/>
  <c r="V42" i="4"/>
  <c r="V77" i="4"/>
  <c r="V84" i="4"/>
  <c r="V89" i="4"/>
  <c r="H77" i="4"/>
  <c r="H84" i="4"/>
  <c r="H89" i="4"/>
  <c r="T99" i="4"/>
  <c r="T93" i="4"/>
  <c r="U17" i="4"/>
  <c r="U24" i="4"/>
  <c r="U29" i="4"/>
  <c r="H17" i="4"/>
  <c r="H24" i="4"/>
  <c r="H29" i="4"/>
  <c r="S94" i="4"/>
  <c r="U78" i="4"/>
  <c r="T18" i="4"/>
  <c r="G78" i="4"/>
  <c r="G18" i="4"/>
  <c r="E94" i="4"/>
  <c r="G33" i="4"/>
  <c r="U93" i="4"/>
  <c r="T33" i="4"/>
  <c r="G93" i="4"/>
  <c r="U99" i="4"/>
  <c r="F99" i="4"/>
  <c r="T39" i="4"/>
  <c r="G99" i="4"/>
  <c r="H97" i="4"/>
  <c r="H98" i="4"/>
  <c r="V97" i="4"/>
  <c r="V98" i="4"/>
  <c r="U32" i="4"/>
  <c r="U38" i="4"/>
  <c r="U31" i="4"/>
  <c r="U30" i="4"/>
  <c r="U37" i="4"/>
  <c r="U28" i="4"/>
  <c r="H37" i="4"/>
  <c r="H32" i="4"/>
  <c r="H31" i="4"/>
  <c r="H38" i="4"/>
  <c r="H30" i="4"/>
  <c r="H28" i="4"/>
  <c r="G39" i="4"/>
  <c r="H90" i="4"/>
  <c r="H88" i="4"/>
  <c r="H91" i="4"/>
  <c r="H92" i="4"/>
  <c r="V92" i="4"/>
  <c r="V91" i="4"/>
  <c r="V90" i="4"/>
  <c r="V88" i="4"/>
  <c r="S34" i="4"/>
  <c r="V12" i="4"/>
  <c r="U20" i="4"/>
  <c r="U21" i="4"/>
  <c r="U14" i="4"/>
  <c r="U15" i="4"/>
  <c r="U16" i="4"/>
  <c r="U27" i="4"/>
  <c r="W72" i="4"/>
  <c r="W82" i="4" s="1"/>
  <c r="V74" i="4"/>
  <c r="V76" i="4"/>
  <c r="V81" i="4"/>
  <c r="V87" i="4"/>
  <c r="V75" i="4"/>
  <c r="V80" i="4"/>
  <c r="G85" i="4"/>
  <c r="U85" i="4"/>
  <c r="H102" i="4"/>
  <c r="V102" i="4"/>
  <c r="I72" i="4"/>
  <c r="I82" i="4" s="1"/>
  <c r="H75" i="4"/>
  <c r="H87" i="4"/>
  <c r="H80" i="4"/>
  <c r="H74" i="4"/>
  <c r="H76" i="4"/>
  <c r="H81" i="4"/>
  <c r="H42" i="4"/>
  <c r="I12" i="4"/>
  <c r="H21" i="4"/>
  <c r="H27" i="4"/>
  <c r="H16" i="4"/>
  <c r="H15" i="4"/>
  <c r="H14" i="4"/>
  <c r="H20" i="4"/>
  <c r="F94" i="4" l="1"/>
  <c r="V22" i="4"/>
  <c r="I22" i="4"/>
  <c r="W83" i="4"/>
  <c r="I83" i="4"/>
  <c r="H25" i="4"/>
  <c r="F34" i="4"/>
  <c r="I23" i="4"/>
  <c r="U25" i="4"/>
  <c r="V23" i="4"/>
  <c r="T94" i="4"/>
  <c r="I77" i="4"/>
  <c r="I84" i="4"/>
  <c r="I89" i="4"/>
  <c r="W77" i="4"/>
  <c r="W89" i="4"/>
  <c r="W84" i="4"/>
  <c r="W42" i="4"/>
  <c r="I17" i="4"/>
  <c r="I24" i="4"/>
  <c r="I29" i="4"/>
  <c r="V17" i="4"/>
  <c r="V24" i="4"/>
  <c r="V29" i="4"/>
  <c r="V78" i="4"/>
  <c r="H78" i="4"/>
  <c r="U18" i="4"/>
  <c r="H18" i="4"/>
  <c r="H93" i="4"/>
  <c r="H33" i="4"/>
  <c r="U33" i="4"/>
  <c r="V93" i="4"/>
  <c r="V99" i="4"/>
  <c r="H99" i="4"/>
  <c r="W97" i="4"/>
  <c r="W98" i="4"/>
  <c r="I97" i="4"/>
  <c r="I98" i="4"/>
  <c r="U39" i="4"/>
  <c r="H39" i="4"/>
  <c r="I38" i="4"/>
  <c r="I32" i="4"/>
  <c r="I31" i="4"/>
  <c r="I30" i="4"/>
  <c r="I28" i="4"/>
  <c r="I37" i="4"/>
  <c r="V38" i="4"/>
  <c r="V28" i="4"/>
  <c r="V32" i="4"/>
  <c r="V37" i="4"/>
  <c r="V31" i="4"/>
  <c r="V30" i="4"/>
  <c r="I91" i="4"/>
  <c r="I90" i="4"/>
  <c r="I88" i="4"/>
  <c r="I92" i="4"/>
  <c r="W92" i="4"/>
  <c r="W91" i="4"/>
  <c r="W90" i="4"/>
  <c r="W88" i="4"/>
  <c r="G94" i="4"/>
  <c r="H85" i="4"/>
  <c r="J72" i="4"/>
  <c r="J82" i="4" s="1"/>
  <c r="I81" i="4"/>
  <c r="I75" i="4"/>
  <c r="I87" i="4"/>
  <c r="I80" i="4"/>
  <c r="I74" i="4"/>
  <c r="I76" i="4"/>
  <c r="W102" i="4"/>
  <c r="T34" i="4"/>
  <c r="U94" i="4"/>
  <c r="W12" i="4"/>
  <c r="V27" i="4"/>
  <c r="V20" i="4"/>
  <c r="V21" i="4"/>
  <c r="V14" i="4"/>
  <c r="V15" i="4"/>
  <c r="V16" i="4"/>
  <c r="G34" i="4"/>
  <c r="I102" i="4"/>
  <c r="V85" i="4"/>
  <c r="X72" i="4"/>
  <c r="W74" i="4"/>
  <c r="W76" i="4"/>
  <c r="W81" i="4"/>
  <c r="W87" i="4"/>
  <c r="W75" i="4"/>
  <c r="W80" i="4"/>
  <c r="J12" i="4"/>
  <c r="I27" i="4"/>
  <c r="I14" i="4"/>
  <c r="I15" i="4"/>
  <c r="I21" i="4"/>
  <c r="I20" i="4"/>
  <c r="I16" i="4"/>
  <c r="I42" i="4"/>
  <c r="W22" i="4" l="1"/>
  <c r="I25" i="4"/>
  <c r="J83" i="4"/>
  <c r="V25" i="4"/>
  <c r="W23" i="4"/>
  <c r="X42" i="4"/>
  <c r="Y42" i="4" s="1"/>
  <c r="Z42" i="4" s="1"/>
  <c r="AA42" i="4" s="1"/>
  <c r="J77" i="4"/>
  <c r="J84" i="4"/>
  <c r="W17" i="4"/>
  <c r="W24" i="4"/>
  <c r="W29" i="4"/>
  <c r="I78" i="4"/>
  <c r="W78" i="4"/>
  <c r="V18" i="4"/>
  <c r="I18" i="4"/>
  <c r="J37" i="4"/>
  <c r="J39" i="4" s="1"/>
  <c r="J17" i="4"/>
  <c r="U34" i="4"/>
  <c r="V33" i="4"/>
  <c r="W93" i="4"/>
  <c r="I33" i="4"/>
  <c r="W99" i="4"/>
  <c r="I93" i="4"/>
  <c r="I99" i="4"/>
  <c r="J97" i="4"/>
  <c r="J98" i="4"/>
  <c r="X98" i="4"/>
  <c r="X97" i="4"/>
  <c r="I39" i="4"/>
  <c r="V39" i="4"/>
  <c r="W28" i="4"/>
  <c r="W38" i="4"/>
  <c r="W37" i="4"/>
  <c r="W32" i="4"/>
  <c r="W31" i="4"/>
  <c r="W30" i="4"/>
  <c r="H34" i="4"/>
  <c r="I85" i="4"/>
  <c r="H94" i="4"/>
  <c r="V94" i="4"/>
  <c r="W85" i="4"/>
  <c r="Y72" i="4"/>
  <c r="X75" i="4"/>
  <c r="X80" i="4"/>
  <c r="X74" i="4"/>
  <c r="X76" i="4"/>
  <c r="X81" i="4"/>
  <c r="X87" i="4"/>
  <c r="X93" i="4" s="1"/>
  <c r="X12" i="4"/>
  <c r="W16" i="4"/>
  <c r="W20" i="4"/>
  <c r="W21" i="4"/>
  <c r="W14" i="4"/>
  <c r="W27" i="4"/>
  <c r="W15" i="4"/>
  <c r="X102" i="4"/>
  <c r="K72" i="4"/>
  <c r="K82" i="4" s="1"/>
  <c r="J74" i="4"/>
  <c r="J76" i="4"/>
  <c r="J81" i="4"/>
  <c r="J75" i="4"/>
  <c r="J87" i="4"/>
  <c r="J93" i="4" s="1"/>
  <c r="J80" i="4"/>
  <c r="J102" i="4"/>
  <c r="J42" i="4"/>
  <c r="K12" i="4"/>
  <c r="W25" i="4" l="1"/>
  <c r="K83" i="4"/>
  <c r="K77" i="4"/>
  <c r="K84" i="4"/>
  <c r="K37" i="4"/>
  <c r="K39" i="4" s="1"/>
  <c r="K17" i="4"/>
  <c r="W18" i="4"/>
  <c r="I94" i="4"/>
  <c r="W33" i="4"/>
  <c r="K97" i="4"/>
  <c r="K98" i="4"/>
  <c r="Y98" i="4"/>
  <c r="Y97" i="4"/>
  <c r="X99" i="4"/>
  <c r="W39" i="4"/>
  <c r="J99" i="4"/>
  <c r="X38" i="4"/>
  <c r="X37" i="4"/>
  <c r="V34" i="4"/>
  <c r="J85" i="4"/>
  <c r="I34" i="4"/>
  <c r="Y12" i="4"/>
  <c r="X20" i="4"/>
  <c r="X14" i="4"/>
  <c r="X16" i="4"/>
  <c r="X27" i="4"/>
  <c r="X33" i="4" s="1"/>
  <c r="X21" i="4"/>
  <c r="X15" i="4"/>
  <c r="X85" i="4"/>
  <c r="K102" i="4"/>
  <c r="J78" i="4"/>
  <c r="L72" i="4"/>
  <c r="L82" i="4" s="1"/>
  <c r="Y102" i="4"/>
  <c r="W94" i="4"/>
  <c r="X78" i="4"/>
  <c r="Z72" i="4"/>
  <c r="Y76" i="4"/>
  <c r="Y75" i="4"/>
  <c r="Y74" i="4"/>
  <c r="Y80" i="4"/>
  <c r="Y81" i="4"/>
  <c r="Y87" i="4"/>
  <c r="Y93" i="4" s="1"/>
  <c r="L12" i="4"/>
  <c r="K42" i="4"/>
  <c r="C12" i="2"/>
  <c r="C13" i="2" s="1"/>
  <c r="C14" i="2" s="1"/>
  <c r="C15" i="2" s="1"/>
  <c r="C16" i="2" s="1"/>
  <c r="C17" i="2" s="1"/>
  <c r="M14" i="1"/>
  <c r="E21" i="1"/>
  <c r="L83" i="4" l="1"/>
  <c r="L77" i="4"/>
  <c r="L84" i="4"/>
  <c r="L37" i="4"/>
  <c r="L39" i="4" s="1"/>
  <c r="L17" i="4"/>
  <c r="E45" i="1"/>
  <c r="E46" i="1"/>
  <c r="Y99" i="4"/>
  <c r="K99" i="4"/>
  <c r="Z98" i="4"/>
  <c r="Z97" i="4"/>
  <c r="L97" i="4"/>
  <c r="L98" i="4"/>
  <c r="Y38" i="4"/>
  <c r="Y37" i="4"/>
  <c r="X39" i="4"/>
  <c r="L46" i="1"/>
  <c r="E34" i="1"/>
  <c r="E37" i="1"/>
  <c r="E36" i="1"/>
  <c r="L45" i="1"/>
  <c r="E35" i="1"/>
  <c r="J94" i="4"/>
  <c r="W34" i="4"/>
  <c r="X94" i="4"/>
  <c r="Y78" i="4"/>
  <c r="M72" i="4"/>
  <c r="M82" i="4" s="1"/>
  <c r="X18" i="4"/>
  <c r="Z12" i="4"/>
  <c r="E26" i="1"/>
  <c r="E18" i="1"/>
  <c r="E25" i="1"/>
  <c r="E20" i="1"/>
  <c r="E33" i="1"/>
  <c r="E17" i="1"/>
  <c r="E16" i="1"/>
  <c r="AA72" i="4"/>
  <c r="Z87" i="4"/>
  <c r="Z93" i="4" s="1"/>
  <c r="Z75" i="4"/>
  <c r="Z74" i="4"/>
  <c r="Z76" i="4"/>
  <c r="Z81" i="4"/>
  <c r="Z80" i="4"/>
  <c r="X25" i="4"/>
  <c r="Y85" i="4"/>
  <c r="Z102" i="4"/>
  <c r="L102" i="4"/>
  <c r="L42" i="4"/>
  <c r="M12" i="4"/>
  <c r="R87" i="4"/>
  <c r="R93" i="4" s="1"/>
  <c r="Q87" i="4"/>
  <c r="Q93" i="4" s="1"/>
  <c r="Q81" i="4"/>
  <c r="R81" i="4"/>
  <c r="R80" i="4"/>
  <c r="Q80" i="4"/>
  <c r="Q75" i="4"/>
  <c r="R75" i="4"/>
  <c r="Q76" i="4"/>
  <c r="R76" i="4"/>
  <c r="Q74" i="4"/>
  <c r="R74" i="4"/>
  <c r="K87" i="4"/>
  <c r="L87" i="4"/>
  <c r="C87" i="4"/>
  <c r="C93" i="4" s="1"/>
  <c r="K81" i="4"/>
  <c r="L81" i="4"/>
  <c r="C81" i="4"/>
  <c r="K80" i="4"/>
  <c r="L80" i="4"/>
  <c r="C80" i="4"/>
  <c r="K76" i="4"/>
  <c r="L76" i="4"/>
  <c r="C75" i="4"/>
  <c r="C76" i="4"/>
  <c r="K75" i="4"/>
  <c r="L75" i="4"/>
  <c r="K74" i="4"/>
  <c r="L74" i="4"/>
  <c r="C74" i="4"/>
  <c r="J20" i="1"/>
  <c r="J18" i="1"/>
  <c r="M83" i="4" l="1"/>
  <c r="M17" i="4"/>
  <c r="M76" i="4"/>
  <c r="M84" i="4"/>
  <c r="M81" i="4"/>
  <c r="M77" i="4"/>
  <c r="R78" i="4"/>
  <c r="Q78" i="4"/>
  <c r="C78" i="4"/>
  <c r="M74" i="4"/>
  <c r="M80" i="4"/>
  <c r="M87" i="4"/>
  <c r="M93" i="4" s="1"/>
  <c r="M75" i="4"/>
  <c r="L99" i="4"/>
  <c r="AA97" i="4"/>
  <c r="AA98" i="4"/>
  <c r="M98" i="4"/>
  <c r="M97" i="4"/>
  <c r="Z99" i="4"/>
  <c r="M37" i="4"/>
  <c r="M39" i="4" s="1"/>
  <c r="Y39" i="4"/>
  <c r="Z37" i="4"/>
  <c r="Z38" i="4"/>
  <c r="Y94" i="4"/>
  <c r="Z85" i="4"/>
  <c r="X34" i="4"/>
  <c r="AA74" i="4"/>
  <c r="AA80" i="4"/>
  <c r="AA87" i="4"/>
  <c r="AA93" i="4" s="1"/>
  <c r="AA76" i="4"/>
  <c r="AA75" i="4"/>
  <c r="AA81" i="4"/>
  <c r="M102" i="4"/>
  <c r="AA102" i="4"/>
  <c r="Z78" i="4"/>
  <c r="AA12" i="4"/>
  <c r="M42" i="4"/>
  <c r="R85" i="4"/>
  <c r="L85" i="4"/>
  <c r="K78" i="4"/>
  <c r="Q85" i="4"/>
  <c r="K85" i="4"/>
  <c r="L93" i="4"/>
  <c r="L78" i="4"/>
  <c r="C85" i="4"/>
  <c r="K93" i="4"/>
  <c r="M85" i="4" l="1"/>
  <c r="M78" i="4"/>
  <c r="C94" i="4"/>
  <c r="Z39" i="4"/>
  <c r="M99" i="4"/>
  <c r="AA99" i="4"/>
  <c r="AA37" i="4"/>
  <c r="AA38" i="4"/>
  <c r="Z94" i="4"/>
  <c r="AA78" i="4"/>
  <c r="AA85" i="4"/>
  <c r="Q94" i="4"/>
  <c r="L94" i="4"/>
  <c r="K94" i="4"/>
  <c r="R94" i="4"/>
  <c r="J27" i="4"/>
  <c r="K27" i="4"/>
  <c r="L27" i="4"/>
  <c r="M27" i="4"/>
  <c r="J20" i="4"/>
  <c r="K20" i="4"/>
  <c r="L20" i="4"/>
  <c r="M20" i="4"/>
  <c r="J14" i="4"/>
  <c r="K14" i="4"/>
  <c r="L14" i="4"/>
  <c r="M14" i="4"/>
  <c r="J15" i="4"/>
  <c r="K15" i="4"/>
  <c r="L15" i="4"/>
  <c r="M15" i="4"/>
  <c r="J16" i="4"/>
  <c r="K16" i="4"/>
  <c r="L16" i="4"/>
  <c r="M16" i="4"/>
  <c r="M94" i="4" l="1"/>
  <c r="M104" i="4" s="1"/>
  <c r="AA39" i="4"/>
  <c r="AA94" i="4"/>
  <c r="E104" i="4"/>
  <c r="F104" i="4"/>
  <c r="G104" i="4"/>
  <c r="H104" i="4"/>
  <c r="S104" i="4"/>
  <c r="T104" i="4"/>
  <c r="U104" i="4"/>
  <c r="V104" i="4"/>
  <c r="W104" i="4"/>
  <c r="X104" i="4"/>
  <c r="Y104" i="4"/>
  <c r="Z104" i="4"/>
  <c r="D104" i="4"/>
  <c r="I104" i="4"/>
  <c r="J104" i="4"/>
  <c r="R104" i="4"/>
  <c r="C104" i="4"/>
  <c r="K104" i="4"/>
  <c r="L104" i="4"/>
  <c r="Q104" i="4"/>
  <c r="M18" i="4"/>
  <c r="L18" i="4"/>
  <c r="M25" i="4"/>
  <c r="J18" i="4"/>
  <c r="K25" i="4"/>
  <c r="J25" i="4"/>
  <c r="L25" i="4"/>
  <c r="J33" i="4"/>
  <c r="K33" i="4"/>
  <c r="L33" i="4"/>
  <c r="M33" i="4"/>
  <c r="K18" i="4"/>
  <c r="AA104" i="4" l="1"/>
  <c r="K34" i="4"/>
  <c r="J34" i="4"/>
  <c r="M34" i="4"/>
  <c r="L34" i="4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M293" i="3"/>
  <c r="L294" i="3"/>
  <c r="L295" i="3"/>
  <c r="L296" i="3"/>
  <c r="L297" i="3"/>
  <c r="L298" i="3"/>
  <c r="L299" i="3"/>
  <c r="L300" i="3"/>
  <c r="C27" i="4" l="1"/>
  <c r="M297" i="3"/>
  <c r="M295" i="3"/>
  <c r="M289" i="3"/>
  <c r="M287" i="3"/>
  <c r="M281" i="3"/>
  <c r="M279" i="3"/>
  <c r="M273" i="3"/>
  <c r="M271" i="3"/>
  <c r="M265" i="3"/>
  <c r="M263" i="3"/>
  <c r="M257" i="3"/>
  <c r="M255" i="3"/>
  <c r="M249" i="3"/>
  <c r="M247" i="3"/>
  <c r="M241" i="3"/>
  <c r="M239" i="3"/>
  <c r="M233" i="3"/>
  <c r="M231" i="3"/>
  <c r="M225" i="3"/>
  <c r="M223" i="3"/>
  <c r="M217" i="3"/>
  <c r="M215" i="3"/>
  <c r="M209" i="3"/>
  <c r="M207" i="3"/>
  <c r="D31" i="4"/>
  <c r="D29" i="4"/>
  <c r="M300" i="3"/>
  <c r="M298" i="3"/>
  <c r="M292" i="3"/>
  <c r="M290" i="3"/>
  <c r="M284" i="3"/>
  <c r="M282" i="3"/>
  <c r="M276" i="3"/>
  <c r="M274" i="3"/>
  <c r="M268" i="3"/>
  <c r="M266" i="3"/>
  <c r="M260" i="3"/>
  <c r="M258" i="3"/>
  <c r="M252" i="3"/>
  <c r="M250" i="3"/>
  <c r="M244" i="3"/>
  <c r="M242" i="3"/>
  <c r="M236" i="3"/>
  <c r="M234" i="3"/>
  <c r="M228" i="3"/>
  <c r="M226" i="3"/>
  <c r="M220" i="3"/>
  <c r="M218" i="3"/>
  <c r="M212" i="3"/>
  <c r="M210" i="3"/>
  <c r="M204" i="3"/>
  <c r="D32" i="4"/>
  <c r="M285" i="3"/>
  <c r="M277" i="3"/>
  <c r="M269" i="3"/>
  <c r="M261" i="3"/>
  <c r="M253" i="3"/>
  <c r="M245" i="3"/>
  <c r="M237" i="3"/>
  <c r="M229" i="3"/>
  <c r="M221" i="3"/>
  <c r="M213" i="3"/>
  <c r="M205" i="3"/>
  <c r="D27" i="4"/>
  <c r="C16" i="4"/>
  <c r="M296" i="3"/>
  <c r="L293" i="3"/>
  <c r="M288" i="3"/>
  <c r="M280" i="3"/>
  <c r="M272" i="3"/>
  <c r="M264" i="3"/>
  <c r="M256" i="3"/>
  <c r="M248" i="3"/>
  <c r="M240" i="3"/>
  <c r="M232" i="3"/>
  <c r="M224" i="3"/>
  <c r="M216" i="3"/>
  <c r="M208" i="3"/>
  <c r="D30" i="4"/>
  <c r="M299" i="3"/>
  <c r="M291" i="3"/>
  <c r="M283" i="3"/>
  <c r="M275" i="3"/>
  <c r="M267" i="3"/>
  <c r="M259" i="3"/>
  <c r="M251" i="3"/>
  <c r="M243" i="3"/>
  <c r="M235" i="3"/>
  <c r="M227" i="3"/>
  <c r="M219" i="3"/>
  <c r="M211" i="3"/>
  <c r="M203" i="3"/>
  <c r="D24" i="4"/>
  <c r="F21" i="1"/>
  <c r="M294" i="3"/>
  <c r="M286" i="3"/>
  <c r="M278" i="3"/>
  <c r="M270" i="3"/>
  <c r="M262" i="3"/>
  <c r="M254" i="3"/>
  <c r="M246" i="3"/>
  <c r="M238" i="3"/>
  <c r="M230" i="3"/>
  <c r="M222" i="3"/>
  <c r="M214" i="3"/>
  <c r="M206" i="3"/>
  <c r="D28" i="4"/>
  <c r="Y21" i="4"/>
  <c r="Z21" i="4"/>
  <c r="AA21" i="4"/>
  <c r="Y14" i="4"/>
  <c r="Z14" i="4"/>
  <c r="AA14" i="4"/>
  <c r="R15" i="4"/>
  <c r="Y15" i="4"/>
  <c r="Z15" i="4"/>
  <c r="AA15" i="4"/>
  <c r="R16" i="4"/>
  <c r="Y16" i="4"/>
  <c r="Z16" i="4"/>
  <c r="AA16" i="4"/>
  <c r="M33" i="1"/>
  <c r="J33" i="1"/>
  <c r="C33" i="1"/>
  <c r="M38" i="1" l="1"/>
  <c r="J55" i="1"/>
  <c r="F33" i="1"/>
  <c r="R14" i="4"/>
  <c r="R37" i="4"/>
  <c r="R21" i="4"/>
  <c r="R38" i="4"/>
  <c r="D17" i="4"/>
  <c r="R17" i="4"/>
  <c r="Q38" i="4"/>
  <c r="Q39" i="4" s="1"/>
  <c r="D33" i="4"/>
  <c r="D16" i="4"/>
  <c r="D15" i="4"/>
  <c r="D38" i="4"/>
  <c r="D37" i="4"/>
  <c r="D14" i="4"/>
  <c r="D21" i="4"/>
  <c r="D20" i="4"/>
  <c r="C20" i="4"/>
  <c r="C15" i="4"/>
  <c r="F35" i="1"/>
  <c r="C30" i="4"/>
  <c r="C37" i="4"/>
  <c r="M45" i="1"/>
  <c r="F34" i="1"/>
  <c r="C28" i="4"/>
  <c r="F36" i="1"/>
  <c r="C31" i="4"/>
  <c r="C38" i="4"/>
  <c r="M46" i="1"/>
  <c r="F37" i="1"/>
  <c r="C32" i="4"/>
  <c r="F45" i="1"/>
  <c r="F46" i="1"/>
  <c r="C21" i="4"/>
  <c r="C56" i="1" l="1"/>
  <c r="C25" i="4"/>
  <c r="D25" i="4"/>
  <c r="C18" i="4"/>
  <c r="R39" i="4"/>
  <c r="C55" i="1"/>
  <c r="R18" i="4"/>
  <c r="D18" i="4"/>
  <c r="D39" i="4"/>
  <c r="C39" i="4"/>
  <c r="C33" i="4"/>
  <c r="F38" i="1"/>
  <c r="M47" i="1"/>
  <c r="F47" i="1"/>
  <c r="Q15" i="4"/>
  <c r="Q21" i="4"/>
  <c r="M17" i="1"/>
  <c r="M18" i="1"/>
  <c r="M20" i="1"/>
  <c r="J17" i="1"/>
  <c r="J26" i="1"/>
  <c r="F26" i="1"/>
  <c r="C26" i="1"/>
  <c r="C17" i="1"/>
  <c r="D34" i="4" l="1"/>
  <c r="C34" i="4"/>
  <c r="C47" i="4" s="1"/>
  <c r="J53" i="1"/>
  <c r="M22" i="1"/>
  <c r="F17" i="1"/>
  <c r="M26" i="1"/>
  <c r="R20" i="4"/>
  <c r="R25" i="4" s="1"/>
  <c r="J25" i="1"/>
  <c r="F25" i="1"/>
  <c r="F30" i="1" s="1"/>
  <c r="F18" i="1"/>
  <c r="F20" i="1"/>
  <c r="F16" i="1"/>
  <c r="C52" i="1" s="1"/>
  <c r="J16" i="1"/>
  <c r="M25" i="1"/>
  <c r="J52" i="1"/>
  <c r="C20" i="1"/>
  <c r="Q20" i="4"/>
  <c r="Q25" i="4" s="1"/>
  <c r="Y20" i="4"/>
  <c r="Z20" i="4"/>
  <c r="AA20" i="4"/>
  <c r="Q27" i="4"/>
  <c r="Q33" i="4" s="1"/>
  <c r="R27" i="4"/>
  <c r="R33" i="4" s="1"/>
  <c r="Y27" i="4"/>
  <c r="Z27" i="4"/>
  <c r="AA27" i="4"/>
  <c r="Q16" i="4"/>
  <c r="C25" i="1"/>
  <c r="C18" i="1"/>
  <c r="L14" i="1"/>
  <c r="M44" i="4" l="1"/>
  <c r="L44" i="4"/>
  <c r="K44" i="4"/>
  <c r="J44" i="4"/>
  <c r="L27" i="1"/>
  <c r="S35" i="1"/>
  <c r="S21" i="1"/>
  <c r="S20" i="1"/>
  <c r="S19" i="1"/>
  <c r="S18" i="1"/>
  <c r="S17" i="1"/>
  <c r="S16" i="1"/>
  <c r="S26" i="1"/>
  <c r="S25" i="1"/>
  <c r="S34" i="1"/>
  <c r="S33" i="1"/>
  <c r="S29" i="1"/>
  <c r="S28" i="1"/>
  <c r="S27" i="1"/>
  <c r="S37" i="1"/>
  <c r="S36" i="1"/>
  <c r="M30" i="1"/>
  <c r="J54" i="1"/>
  <c r="L56" i="1" s="1"/>
  <c r="K56" i="1" s="1"/>
  <c r="C53" i="1"/>
  <c r="L28" i="1"/>
  <c r="L19" i="1"/>
  <c r="C54" i="1"/>
  <c r="F22" i="1"/>
  <c r="F41" i="1" s="1"/>
  <c r="L21" i="1"/>
  <c r="L29" i="1"/>
  <c r="K46" i="4"/>
  <c r="L46" i="4"/>
  <c r="M46" i="4"/>
  <c r="J46" i="4"/>
  <c r="Q18" i="4"/>
  <c r="L34" i="1"/>
  <c r="L37" i="1"/>
  <c r="L35" i="1"/>
  <c r="L36" i="1"/>
  <c r="L26" i="1"/>
  <c r="L18" i="1"/>
  <c r="L25" i="1"/>
  <c r="L20" i="1"/>
  <c r="L33" i="1"/>
  <c r="L17" i="1"/>
  <c r="L16" i="1"/>
  <c r="AA25" i="4"/>
  <c r="Z25" i="4"/>
  <c r="Y25" i="4"/>
  <c r="AA33" i="4"/>
  <c r="Z33" i="4"/>
  <c r="Y33" i="4"/>
  <c r="Z18" i="4"/>
  <c r="Y18" i="4"/>
  <c r="AA18" i="4"/>
  <c r="S54" i="1" l="1"/>
  <c r="R54" i="1" s="1"/>
  <c r="S52" i="1"/>
  <c r="R52" i="1" s="1"/>
  <c r="S57" i="1"/>
  <c r="R57" i="1" s="1"/>
  <c r="S53" i="1"/>
  <c r="R53" i="1" s="1"/>
  <c r="S55" i="1"/>
  <c r="R55" i="1" s="1"/>
  <c r="S56" i="1"/>
  <c r="R56" i="1" s="1"/>
  <c r="M41" i="1"/>
  <c r="N27" i="1" s="1"/>
  <c r="G27" i="1"/>
  <c r="AA34" i="4"/>
  <c r="R34" i="4"/>
  <c r="Y34" i="4"/>
  <c r="Q34" i="4"/>
  <c r="Z34" i="4"/>
  <c r="L55" i="1"/>
  <c r="K55" i="1" s="1"/>
  <c r="L57" i="1"/>
  <c r="K57" i="1" s="1"/>
  <c r="L54" i="1"/>
  <c r="K54" i="1" s="1"/>
  <c r="L53" i="1"/>
  <c r="K53" i="1" s="1"/>
  <c r="L52" i="1"/>
  <c r="K52" i="1" s="1"/>
  <c r="AA44" i="4" l="1"/>
  <c r="Z44" i="4"/>
  <c r="Y44" i="4"/>
  <c r="X44" i="4"/>
  <c r="G28" i="1"/>
  <c r="G19" i="1"/>
  <c r="N28" i="1"/>
  <c r="N19" i="1"/>
  <c r="N21" i="1"/>
  <c r="N29" i="1"/>
  <c r="G21" i="1"/>
  <c r="G29" i="1"/>
  <c r="N35" i="1"/>
  <c r="N36" i="1"/>
  <c r="N37" i="1"/>
  <c r="N34" i="1"/>
  <c r="G36" i="1"/>
  <c r="G35" i="1"/>
  <c r="G37" i="1"/>
  <c r="G34" i="1"/>
  <c r="G16" i="1"/>
  <c r="X46" i="4"/>
  <c r="AA46" i="4"/>
  <c r="Z46" i="4"/>
  <c r="Y46" i="4"/>
  <c r="N33" i="1"/>
  <c r="N20" i="1"/>
  <c r="N18" i="1"/>
  <c r="N17" i="1"/>
  <c r="N16" i="1"/>
  <c r="N26" i="1"/>
  <c r="N25" i="1"/>
  <c r="G26" i="1"/>
  <c r="G33" i="1"/>
  <c r="G20" i="1"/>
  <c r="G18" i="1"/>
  <c r="G25" i="1"/>
  <c r="G17" i="1"/>
</calcChain>
</file>

<file path=xl/sharedStrings.xml><?xml version="1.0" encoding="utf-8"?>
<sst xmlns="http://schemas.openxmlformats.org/spreadsheetml/2006/main" count="1918" uniqueCount="230">
  <si>
    <t>Organisatie</t>
  </si>
  <si>
    <t>Variabele</t>
  </si>
  <si>
    <t>Keuze</t>
  </si>
  <si>
    <t>Jaar</t>
  </si>
  <si>
    <t>Type</t>
  </si>
  <si>
    <t>Gasverbruik</t>
  </si>
  <si>
    <t>liter</t>
  </si>
  <si>
    <t>Totaal scope 1</t>
  </si>
  <si>
    <t>Vliegreizen</t>
  </si>
  <si>
    <t>kWh</t>
  </si>
  <si>
    <t>km</t>
  </si>
  <si>
    <t>Totaal scope 2</t>
  </si>
  <si>
    <t>Zakelijk vervoer - gedeclareerde kilometers</t>
  </si>
  <si>
    <r>
      <rPr>
        <b/>
        <sz val="12"/>
        <color theme="0"/>
        <rFont val="Verdana"/>
        <family val="2"/>
      </rPr>
      <t xml:space="preserve">Emissies
</t>
    </r>
    <r>
      <rPr>
        <sz val="12"/>
        <color theme="0"/>
        <rFont val="Verdana"/>
        <family val="2"/>
      </rPr>
      <t>(ton CO2)</t>
    </r>
  </si>
  <si>
    <t>Zakelijk vervoer</t>
  </si>
  <si>
    <t>Elektriciteitsverbruik</t>
  </si>
  <si>
    <t>Heel jaar</t>
  </si>
  <si>
    <t>Type footprint</t>
  </si>
  <si>
    <t>Tabel M1A. Input voor samenvattend figuur CO2-footprint</t>
  </si>
  <si>
    <t>Tabel M2A. Input voor samenvattend figuur CO2-footprint</t>
  </si>
  <si>
    <t>Half jaar</t>
  </si>
  <si>
    <t>Verwachting doelstelling</t>
  </si>
  <si>
    <t>Absolute voortgang</t>
  </si>
  <si>
    <t>m3</t>
  </si>
  <si>
    <t>gram CO2/m3</t>
  </si>
  <si>
    <t>gram CO2/liter</t>
  </si>
  <si>
    <t>gram CO2/kWh</t>
  </si>
  <si>
    <t>gram CO2/km</t>
  </si>
  <si>
    <t>Elektriciteitsverbruik - groene stroom</t>
  </si>
  <si>
    <t>Elektriciteitsverbruik - grijze stroom</t>
  </si>
  <si>
    <t>Totaal business travel</t>
  </si>
  <si>
    <t>bt</t>
  </si>
  <si>
    <t>DATA JAREN</t>
  </si>
  <si>
    <t>ORGANISATIE</t>
  </si>
  <si>
    <r>
      <t>m</t>
    </r>
    <r>
      <rPr>
        <vertAlign val="superscript"/>
        <sz val="9"/>
        <color theme="1"/>
        <rFont val="Verdana"/>
        <family val="2"/>
      </rPr>
      <t>3</t>
    </r>
  </si>
  <si>
    <r>
      <t>m</t>
    </r>
    <r>
      <rPr>
        <vertAlign val="superscript"/>
        <sz val="9"/>
        <rFont val="Verdana"/>
        <family val="2"/>
      </rPr>
      <t>3</t>
    </r>
  </si>
  <si>
    <t>VARIABELE</t>
  </si>
  <si>
    <t>KEUZE</t>
  </si>
  <si>
    <t>TYPE EMISSIESTROOM SCOPE 1</t>
  </si>
  <si>
    <t>AANTAL</t>
  </si>
  <si>
    <t>EENHEID</t>
  </si>
  <si>
    <r>
      <t xml:space="preserve">UITSTOOT
</t>
    </r>
    <r>
      <rPr>
        <sz val="9.5"/>
        <rFont val="Verdana"/>
        <family val="2"/>
      </rPr>
      <t>(ton CO</t>
    </r>
    <r>
      <rPr>
        <vertAlign val="subscript"/>
        <sz val="9.5"/>
        <rFont val="Verdana"/>
        <family val="2"/>
      </rPr>
      <t>2</t>
    </r>
    <r>
      <rPr>
        <sz val="9.5"/>
        <rFont val="Verdana"/>
        <family val="2"/>
      </rPr>
      <t>)</t>
    </r>
  </si>
  <si>
    <t>TYPE EMISSIESTROOM SCOPE 2</t>
  </si>
  <si>
    <t>TYPE EMISSIESTROOM BUSINESS TRAVEL</t>
  </si>
  <si>
    <t>TOTALE EMISSIES SCOPE 1, 2 EN BUSINESS TRAVEL</t>
  </si>
  <si>
    <r>
      <t xml:space="preserve">CONVERSIEFACTOR 
</t>
    </r>
    <r>
      <rPr>
        <sz val="9.5"/>
        <rFont val="Verdana"/>
        <family val="2"/>
      </rPr>
      <t>(g CO</t>
    </r>
    <r>
      <rPr>
        <vertAlign val="subscript"/>
        <sz val="9.5"/>
        <rFont val="Verdana"/>
        <family val="2"/>
      </rPr>
      <t>2</t>
    </r>
    <r>
      <rPr>
        <sz val="9.5"/>
        <rFont val="Verdana"/>
        <family val="2"/>
      </rPr>
      <t xml:space="preserve"> per eenheid)</t>
    </r>
  </si>
  <si>
    <t>SELECTIETOOL V2 - FOOTPRINT PER ORGANISATIE</t>
  </si>
  <si>
    <t>TOTALE EMISSIES</t>
  </si>
  <si>
    <t>TOTAAL BUSINESS TRAVEL</t>
  </si>
  <si>
    <t>TOTAAL SCOPE 2</t>
  </si>
  <si>
    <t>TOTAAL SCOPE 1</t>
  </si>
  <si>
    <t>SELECTIETOOL V4 - FOOTPRINT PER ORGANISATIE</t>
  </si>
  <si>
    <t>TABEL 1A. INPUTDATA CO2-FOOTPRINT</t>
  </si>
  <si>
    <r>
      <t xml:space="preserve">ORGANISATIE </t>
    </r>
    <r>
      <rPr>
        <sz val="9.5"/>
        <rFont val="Verdana"/>
        <family val="2"/>
      </rPr>
      <t>(IDENTIFICATIE)</t>
    </r>
  </si>
  <si>
    <t>JAAR</t>
  </si>
  <si>
    <t>TYPE FOOTPRINT</t>
  </si>
  <si>
    <t>EMISSIESTROOM</t>
  </si>
  <si>
    <r>
      <t>EENHEID</t>
    </r>
    <r>
      <rPr>
        <sz val="9.5"/>
        <rFont val="Verdana"/>
        <family val="2"/>
      </rPr>
      <t xml:space="preserve"> (AANSLUITEND OP AANTAL)</t>
    </r>
  </si>
  <si>
    <t>EMISSIEFACTOR</t>
  </si>
  <si>
    <r>
      <t xml:space="preserve">EENHEID </t>
    </r>
    <r>
      <rPr>
        <sz val="9.5"/>
        <rFont val="Verdana"/>
        <family val="2"/>
      </rPr>
      <t>(AANSLUITEND OP EMISSIEFACTOR)</t>
    </r>
  </si>
  <si>
    <r>
      <t xml:space="preserve">CO2-UITSTOOT </t>
    </r>
    <r>
      <rPr>
        <sz val="9.5"/>
        <rFont val="Verdana"/>
        <family val="2"/>
      </rPr>
      <t>(KG)</t>
    </r>
  </si>
  <si>
    <r>
      <t xml:space="preserve">CO2-UITSTOOT </t>
    </r>
    <r>
      <rPr>
        <sz val="9.5"/>
        <rFont val="Verdana"/>
        <family val="2"/>
      </rPr>
      <t>(TON)</t>
    </r>
  </si>
  <si>
    <t>TOELICHTING</t>
  </si>
  <si>
    <t>VESTIGING</t>
  </si>
  <si>
    <t>TABEL X1. OVERZICHT KEUZEVARIABELEN IN KEUZEMENU'S</t>
  </si>
  <si>
    <r>
      <t>CO</t>
    </r>
    <r>
      <rPr>
        <b/>
        <vertAlign val="subscript"/>
        <sz val="24"/>
        <color theme="1"/>
        <rFont val="Verdana"/>
        <family val="2"/>
      </rPr>
      <t>2</t>
    </r>
    <r>
      <rPr>
        <b/>
        <sz val="24"/>
        <color theme="1"/>
        <rFont val="Verdana"/>
        <family val="2"/>
      </rPr>
      <t>-FOOTPRINT</t>
    </r>
  </si>
  <si>
    <r>
      <t>CO</t>
    </r>
    <r>
      <rPr>
        <b/>
        <vertAlign val="subscript"/>
        <sz val="24"/>
        <color theme="1"/>
        <rFont val="Verdana"/>
        <family val="2"/>
      </rPr>
      <t>2</t>
    </r>
    <r>
      <rPr>
        <b/>
        <sz val="24"/>
        <color theme="1"/>
        <rFont val="Verdana"/>
        <family val="2"/>
      </rPr>
      <t>-VOORTGANG</t>
    </r>
  </si>
  <si>
    <r>
      <t>CO</t>
    </r>
    <r>
      <rPr>
        <b/>
        <vertAlign val="subscript"/>
        <sz val="24"/>
        <color theme="1"/>
        <rFont val="Verdana"/>
        <family val="2"/>
      </rPr>
      <t>2</t>
    </r>
    <r>
      <rPr>
        <b/>
        <sz val="24"/>
        <color theme="1"/>
        <rFont val="Verdana"/>
        <family val="2"/>
      </rPr>
      <t>-DATA</t>
    </r>
  </si>
  <si>
    <t>INPUT KEUZEMENU</t>
  </si>
  <si>
    <t>ORGANISATIES</t>
  </si>
  <si>
    <t>JAARTALLEN</t>
  </si>
  <si>
    <t>SCOPE</t>
  </si>
  <si>
    <t>Gereden kilometers</t>
  </si>
  <si>
    <t>AdBlue</t>
  </si>
  <si>
    <t>Vliegreizen &lt;700 km</t>
  </si>
  <si>
    <t>Vliegreizen 700-2500 km</t>
  </si>
  <si>
    <t>Vliegreizen &gt;2500 km</t>
  </si>
  <si>
    <t>Zakelijk vervoer - openbaar vervoer</t>
  </si>
  <si>
    <r>
      <t xml:space="preserve">BRONGEGEVENS                                    </t>
    </r>
    <r>
      <rPr>
        <sz val="9.5"/>
        <rFont val="Verdana"/>
        <family val="2"/>
      </rPr>
      <t>(BESTANDSNAAM)</t>
    </r>
  </si>
  <si>
    <r>
      <t xml:space="preserve">SCOPE EMISSIES </t>
    </r>
    <r>
      <rPr>
        <sz val="9.5"/>
        <rFont val="Verdana"/>
        <family val="2"/>
      </rPr>
      <t>(SCOPE 1, 2 EN bt)</t>
    </r>
  </si>
  <si>
    <t>2019-2025</t>
  </si>
  <si>
    <t>Brandstofverbruik - diesel</t>
  </si>
  <si>
    <t>Brandstofverbruik - benzine</t>
  </si>
  <si>
    <t>Brandstofverbruik - cng</t>
  </si>
  <si>
    <t>Biogas afgefakkeld</t>
  </si>
  <si>
    <t>Memo</t>
  </si>
  <si>
    <t>TYPE EMISSIESTROOM MEMO ITEMS</t>
  </si>
  <si>
    <t>Totaal memo items</t>
  </si>
  <si>
    <t>Brandstoffen</t>
  </si>
  <si>
    <t>TYPE EMISSIESTROOM MEMO ITEM</t>
  </si>
  <si>
    <t>TOTAAL MEMO ITEM</t>
  </si>
  <si>
    <t>TOTAAL MEMO ITEMS</t>
  </si>
  <si>
    <t>Biogas gespuid</t>
  </si>
  <si>
    <t>KPI</t>
  </si>
  <si>
    <t>Transport afvalwater</t>
  </si>
  <si>
    <t>Zuiveren afvalwater</t>
  </si>
  <si>
    <t>Slibontwatering</t>
  </si>
  <si>
    <t>Elektriciteitsverbruik - wagens</t>
  </si>
  <si>
    <t>Zakelijk vervoer - treinkilometers</t>
  </si>
  <si>
    <t>Tabel A. Gasverbruik per vestiging</t>
  </si>
  <si>
    <t>Vestiging</t>
  </si>
  <si>
    <t>GR RBG</t>
  </si>
  <si>
    <t>Warmte</t>
  </si>
  <si>
    <t>GJ</t>
  </si>
  <si>
    <t>gram CO2/GJ</t>
  </si>
  <si>
    <t>Verbruik elektrische auto's - kilometers</t>
  </si>
  <si>
    <t>kg</t>
  </si>
  <si>
    <t>gram CO2/kg</t>
  </si>
  <si>
    <t>Biogas inzet WKK</t>
  </si>
  <si>
    <t>Verbruik hybride benzine - kilometers</t>
  </si>
  <si>
    <t>Verbruik hybride diesel - kilometers</t>
  </si>
  <si>
    <t>GR AQUON</t>
  </si>
  <si>
    <t>GR Slibverwerking 2009</t>
  </si>
  <si>
    <t>Biomassa</t>
  </si>
  <si>
    <t>Brandstofverbruik - lpg</t>
  </si>
  <si>
    <t>Neerslag</t>
  </si>
  <si>
    <t>Zuiveringscluster/vestiging</t>
  </si>
  <si>
    <t>Watersystemen</t>
  </si>
  <si>
    <t>Inwonerequivalent</t>
  </si>
  <si>
    <t>Tabel M3A. Input voor samenvattend figuur CO2-footprint</t>
  </si>
  <si>
    <t>EIGEN ORGANISATIE</t>
  </si>
  <si>
    <t>TABEL V1A. VOORTGANG JAARLIJKSE CO2-EMISSIES, GEHELE BOUNDARY INCL. VERBONDEN PARTIJEN</t>
  </si>
  <si>
    <t>Tabel V2A. VOORTGANG JAARLIJKSE CO2-EMISSIES, PER AFDELING/VB</t>
  </si>
  <si>
    <t>TABEL V4A. VOORTGANG HALFJAARLIJKSE CO2-EMISSIES, GEHELE BOUNDARY INCL. VERBONDEN PARTIJEN</t>
  </si>
  <si>
    <t>Tabel V5A. VOORTGANG HALFJAARLIJKSE CO2-EMISSIES, PER AFDELING/VB</t>
  </si>
  <si>
    <t>RWZI</t>
  </si>
  <si>
    <t>Facilitair</t>
  </si>
  <si>
    <t>Delfland</t>
  </si>
  <si>
    <t>Rij 7</t>
  </si>
  <si>
    <t>Rij 8</t>
  </si>
  <si>
    <t>Rij 9</t>
  </si>
  <si>
    <t>Nieuwe Waterweg</t>
  </si>
  <si>
    <t>Rij 18</t>
  </si>
  <si>
    <t>Houtrust</t>
  </si>
  <si>
    <t>Groote Lucht</t>
  </si>
  <si>
    <t>Harnaschpolder</t>
  </si>
  <si>
    <t>Rij 25 min 28</t>
  </si>
  <si>
    <t>Rij 45</t>
  </si>
  <si>
    <t>Rij 93</t>
  </si>
  <si>
    <t>Rij 101</t>
  </si>
  <si>
    <t>Rij 112</t>
  </si>
  <si>
    <t>Rij 17</t>
  </si>
  <si>
    <t>Rij 92</t>
  </si>
  <si>
    <t>Rij 84</t>
  </si>
  <si>
    <t>Rij 103</t>
  </si>
  <si>
    <t>Rij 6</t>
  </si>
  <si>
    <t>Rij 11</t>
  </si>
  <si>
    <t>Rij 29, woon/werk km´s</t>
  </si>
  <si>
    <t>Rij 27, declaraties dienstreizen</t>
  </si>
  <si>
    <t>Rij 37</t>
  </si>
  <si>
    <t xml:space="preserve">Rij 9 </t>
  </si>
  <si>
    <t>Rij 25 min rij 28</t>
  </si>
  <si>
    <t>Rij 51</t>
  </si>
  <si>
    <t>Rij 49</t>
  </si>
  <si>
    <t>Rij 55, woon-werk verkeer</t>
  </si>
  <si>
    <t>HDD- Uitvraag Waterschappen verslagjaar 2021 versie 5 - tabblad Energie</t>
  </si>
  <si>
    <t>HDD- Uitvraag Waterschappen verslagjaar 2021 versie 5 - tabblad personenmobiliteit</t>
  </si>
  <si>
    <t>Hoogheemraadschap van Delfland</t>
  </si>
  <si>
    <t>SELECTIETOOL V3 - FOOTPRINT DELFLAND</t>
  </si>
  <si>
    <t>TABEL V3A. VOORTGANG JAARLIJKSE CO2-EMISSIES, DELFLAND</t>
  </si>
  <si>
    <t>TABEL V6A. VOORTGANG HALFJAARLIJKSE CO2-EMISSIES, DELFLAND</t>
  </si>
  <si>
    <t>Rij 24</t>
  </si>
  <si>
    <t>GR AquaMinerals</t>
  </si>
  <si>
    <t>Rij 64</t>
  </si>
  <si>
    <t>Woon-werk ipv zakelijk,geen onderscheid van NS</t>
  </si>
  <si>
    <t>Voor 12,5% meegenomen</t>
  </si>
  <si>
    <t>Mail Wiebe Bosma 15/4/22 HHSK</t>
  </si>
  <si>
    <t>Voor 20% meegenomen</t>
  </si>
  <si>
    <t>Gas en elektra vastgoed Schiedam</t>
  </si>
  <si>
    <t>Voor 28,6% meegenomen</t>
  </si>
  <si>
    <t>Voor 11,1% meegenomen</t>
  </si>
  <si>
    <t>Brandstof Aquon 2019, 2020 en 2021</t>
  </si>
  <si>
    <t>CO2-ladder 2019-2021 AQUON</t>
  </si>
  <si>
    <t>Milieujaarverslag Slibverbrandingsinstallatie 2020, pagina 90</t>
  </si>
  <si>
    <t>Milieujaarverslag Slibverbrandingsinstallatie 2020, pagina 22</t>
  </si>
  <si>
    <t>Klimaatmonitor Delfland verslagjaar 2019, tabblad energie</t>
  </si>
  <si>
    <t>Klimaatmonitor Delfland verslagjaar 2020, tabblad energie</t>
  </si>
  <si>
    <t>Klimaatmonitor Delfland verslagjaar 2020, tabblad personenmobiliteit</t>
  </si>
  <si>
    <t>Klimaatmonitor Delfland verslagjaar 2019, tabblad personenmobiliteit</t>
  </si>
  <si>
    <t>Rij 22, biomassa</t>
  </si>
  <si>
    <t>ENERGIEVOORTGANG</t>
  </si>
  <si>
    <t>SELECTIETOOL E1. OVERZICHT ENERGIEVERBRUIK, GEHELE ORGANISATIE</t>
  </si>
  <si>
    <t>SELECTIETOOL E2 - ENERGIEVERBRUIK PER ORGANISATIE</t>
  </si>
  <si>
    <t>ENERGIEDRAGER</t>
  </si>
  <si>
    <r>
      <t xml:space="preserve">CONVERSIEFACTOR 
</t>
    </r>
    <r>
      <rPr>
        <sz val="9"/>
        <color theme="1"/>
        <rFont val="Verdana"/>
        <family val="2"/>
      </rPr>
      <t>(g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 xml:space="preserve"> per eenheid)</t>
    </r>
  </si>
  <si>
    <t>VERBRUIK (GJ)</t>
  </si>
  <si>
    <t>Aardgasverbruik</t>
  </si>
  <si>
    <t>Brandstofverbruik bedrijfsmiddelen - diesel</t>
  </si>
  <si>
    <t>Brandstofverbruik wagenpark - diesel</t>
  </si>
  <si>
    <t>Brandstofverbruik wagenpark - benzine</t>
  </si>
  <si>
    <t>Brandstofverbruik wagenpark - HVO</t>
  </si>
  <si>
    <t>Brandstofverbruik wagenpark - LPG</t>
  </si>
  <si>
    <t>Brandstofverbruik wagenpark - CNG</t>
  </si>
  <si>
    <t>Warmtelevering - STEG centrale</t>
  </si>
  <si>
    <t>TOTAAL ENERGIEVERBRUIK</t>
  </si>
  <si>
    <t>Tabel E1A. Input voor samenvattend figuur CO2-footprint</t>
  </si>
  <si>
    <t>Energieverbruik</t>
  </si>
  <si>
    <t>TABEL EV1. VOORTGANG JAARLIJKSE ENERGIEVERBRUIK, GEHELE BEDRIJF (GJ)</t>
  </si>
  <si>
    <t>TYPE ENERGIEDRAGER</t>
  </si>
  <si>
    <t>Elektriciteitsverbruik - biomassa</t>
  </si>
  <si>
    <t>TABEL EV1A. VOORTGANG ENERGIEVERBRUIK, GEHELE BEDRIJF</t>
  </si>
  <si>
    <t>Behaalde omzet</t>
  </si>
  <si>
    <t>Energieverbruik per kengetal</t>
  </si>
  <si>
    <t>Uitstoot per kengetal</t>
  </si>
  <si>
    <t>Relatieve voortgang omzet</t>
  </si>
  <si>
    <t>Aantal medewerkers</t>
  </si>
  <si>
    <t>Aantal FTE</t>
  </si>
  <si>
    <t>Relatieve voortgang medewerkers</t>
  </si>
  <si>
    <t>Aantal inwoners</t>
  </si>
  <si>
    <t>Relatieve voortgang inwoners</t>
  </si>
  <si>
    <t xml:space="preserve">Tabel B. Elektriciteitsverbruik per vestiging </t>
  </si>
  <si>
    <r>
      <t>TABEL V1. VOORTGANG 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GEHELE BOUNDARY INCL. VERBONDEN PARTIJEN</t>
    </r>
  </si>
  <si>
    <t>Bron: klimaatmonitor 2021</t>
  </si>
  <si>
    <t>Rij 17, Europese stroom</t>
  </si>
  <si>
    <r>
      <t>SELECTIETOOL M1.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GEHELE ORGANISATIE</t>
    </r>
  </si>
  <si>
    <r>
      <t>TABEL M1.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DELFLAND INCL. VERBONDEN PARTIJEN</t>
    </r>
  </si>
  <si>
    <r>
      <t>SELECTIETOOL M2.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PER AFDELING/VB</t>
    </r>
  </si>
  <si>
    <r>
      <t>TABEL M2.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</t>
    </r>
  </si>
  <si>
    <r>
      <t>SELECTIETOOL M3.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 DELFLAND</t>
    </r>
  </si>
  <si>
    <r>
      <t>TABEL M3.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DELFLAND</t>
    </r>
  </si>
  <si>
    <r>
      <t>TABEL V4. VOORTGANG HALFJAARLIJKSE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GEHELE BOUNDARY INCL. VERBONDEN PARTIJEN</t>
    </r>
  </si>
  <si>
    <r>
      <t>TABEL V5. VOORTGANG HALFJAARLIJKSE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PER AFDELING/VB</t>
    </r>
  </si>
  <si>
    <r>
      <t>TABEL V2. VOORTGANG 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PER AFDELING/VB</t>
    </r>
  </si>
  <si>
    <r>
      <t>TABEL V3. VOORTGANG 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DELFLAND</t>
    </r>
  </si>
  <si>
    <t>SELECTIETOOL V5 - FOOTPRINT DELFLAND</t>
  </si>
  <si>
    <r>
      <t>TABEL V6. VOORTGANG HALFJAARLIJKSE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DELFLAND</t>
    </r>
  </si>
  <si>
    <t>Hoeveelheid verpompt afvalwater</t>
  </si>
  <si>
    <t>Z-info</t>
  </si>
  <si>
    <t>Relatieve voortgang hoeveelheid verpompt afvalwater</t>
  </si>
  <si>
    <t>x1000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</si>
</sst>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 * #,##0.0_ ;_ * \-#,##0.0_ ;_ * &quot;-&quot;?_ ;_ @_ "/>
    <numFmt numFmtId="170" formatCode="#,##0.00000"/>
  </numFmts>
  <fonts count="40" x14ac:knownFonts="1">
    <font>
      <sz val="11"/>
      <color theme="1"/>
      <name val="Arial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i/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rgb="FFFFFFFF"/>
      <name val="Verdana"/>
      <family val="2"/>
    </font>
    <font>
      <sz val="10"/>
      <name val="Arial"/>
      <family val="2"/>
    </font>
    <font>
      <b/>
      <sz val="24"/>
      <color theme="1"/>
      <name val="Verdana"/>
      <family val="2"/>
    </font>
    <font>
      <b/>
      <vertAlign val="subscript"/>
      <sz val="2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b/>
      <sz val="9"/>
      <name val="Verdana"/>
      <family val="2"/>
    </font>
    <font>
      <b/>
      <sz val="9.5"/>
      <color theme="1"/>
      <name val="Verdana"/>
      <family val="2"/>
    </font>
    <font>
      <sz val="9.5"/>
      <color theme="1"/>
      <name val="Verdana"/>
      <family val="2"/>
    </font>
    <font>
      <sz val="9.5"/>
      <color rgb="FF000000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vertAlign val="subscript"/>
      <sz val="9.5"/>
      <name val="Verdana"/>
      <family val="2"/>
    </font>
    <font>
      <b/>
      <sz val="9"/>
      <color rgb="FF000000"/>
      <name val="Verdana"/>
      <family val="2"/>
    </font>
    <font>
      <b/>
      <sz val="9.5"/>
      <color rgb="FF000000"/>
      <name val="Verdana"/>
      <family val="2"/>
    </font>
    <font>
      <b/>
      <sz val="20"/>
      <color theme="1"/>
      <name val="Verdana"/>
      <family val="2"/>
    </font>
    <font>
      <b/>
      <sz val="12"/>
      <color theme="7" tint="-0.249977111117893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color theme="0"/>
      <name val="Verdana"/>
      <family val="2"/>
    </font>
    <font>
      <vertAlign val="subscript"/>
      <sz val="9"/>
      <color theme="1"/>
      <name val="Verdana"/>
      <family val="2"/>
    </font>
    <font>
      <b/>
      <sz val="16"/>
      <color theme="0"/>
      <name val="Verdana"/>
      <family val="2"/>
    </font>
    <font>
      <b/>
      <vertAlign val="subscript"/>
      <sz val="12"/>
      <color theme="0"/>
      <name val="Verdana"/>
      <family val="2"/>
    </font>
    <font>
      <b/>
      <sz val="9.5"/>
      <color theme="0"/>
      <name val="Verdana"/>
      <family val="2"/>
    </font>
    <font>
      <b/>
      <sz val="9"/>
      <color theme="0"/>
      <name val="Verdana"/>
      <family val="2"/>
    </font>
    <font>
      <sz val="11"/>
      <color theme="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1B57D"/>
        <bgColor rgb="FF61B57D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1B57D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E2EFD9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2EFD9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rgb="FF61B57D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6BBC93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C93"/>
        <bgColor rgb="FFE2EFD9"/>
      </patternFill>
    </fill>
    <fill>
      <patternFill patternType="solid">
        <fgColor rgb="FF6BBC93"/>
        <bgColor rgb="FF6BBC93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1C5597"/>
        <bgColor rgb="FF61B57D"/>
      </patternFill>
    </fill>
    <fill>
      <patternFill patternType="solid">
        <fgColor rgb="FF1C5597"/>
        <bgColor rgb="FF7F7F7F"/>
      </patternFill>
    </fill>
    <fill>
      <patternFill patternType="solid">
        <fgColor rgb="FF1C5597"/>
        <bgColor rgb="FFE2EFD9"/>
      </patternFill>
    </fill>
    <fill>
      <patternFill patternType="solid">
        <fgColor rgb="FF1C5597"/>
        <bgColor indexed="64"/>
      </patternFill>
    </fill>
    <fill>
      <patternFill patternType="solid">
        <fgColor rgb="FF1C5597"/>
        <bgColor rgb="FF6BBC93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rgb="FF00000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rgb="FFBFBFB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rgb="FFBFBFBF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11" fillId="0" borderId="2" applyFont="0" applyFill="0" applyBorder="0" applyAlignment="0" applyProtection="0"/>
    <xf numFmtId="0" fontId="8" fillId="0" borderId="2"/>
    <xf numFmtId="9" fontId="8" fillId="0" borderId="2" applyFont="0" applyFill="0" applyBorder="0" applyAlignment="0" applyProtection="0"/>
  </cellStyleXfs>
  <cellXfs count="38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/>
    <xf numFmtId="0" fontId="2" fillId="2" borderId="2" xfId="0" applyFont="1" applyFill="1" applyBorder="1"/>
    <xf numFmtId="0" fontId="2" fillId="5" borderId="0" xfId="0" applyFont="1" applyFill="1" applyAlignment="1"/>
    <xf numFmtId="0" fontId="3" fillId="4" borderId="3" xfId="0" applyFont="1" applyFill="1" applyBorder="1"/>
    <xf numFmtId="0" fontId="4" fillId="4" borderId="3" xfId="0" applyFont="1" applyFill="1" applyBorder="1" applyAlignment="1">
      <alignment wrapText="1"/>
    </xf>
    <xf numFmtId="0" fontId="2" fillId="2" borderId="1" xfId="0" applyFont="1" applyFill="1" applyBorder="1" applyAlignment="1">
      <alignment vertical="top"/>
    </xf>
    <xf numFmtId="0" fontId="4" fillId="7" borderId="2" xfId="0" applyFont="1" applyFill="1" applyBorder="1"/>
    <xf numFmtId="0" fontId="2" fillId="5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/>
    </xf>
    <xf numFmtId="168" fontId="2" fillId="2" borderId="2" xfId="0" applyNumberFormat="1" applyFont="1" applyFill="1" applyBorder="1" applyAlignment="1">
      <alignment horizontal="left" vertical="center"/>
    </xf>
    <xf numFmtId="167" fontId="1" fillId="2" borderId="2" xfId="0" applyNumberFormat="1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vertical="center"/>
    </xf>
    <xf numFmtId="167" fontId="1" fillId="8" borderId="2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vertical="center" wrapText="1"/>
    </xf>
    <xf numFmtId="0" fontId="10" fillId="7" borderId="2" xfId="0" applyFont="1" applyFill="1" applyBorder="1"/>
    <xf numFmtId="0" fontId="10" fillId="7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7" fontId="2" fillId="2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3" fontId="1" fillId="8" borderId="2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6" fillId="5" borderId="3" xfId="0" applyFont="1" applyFill="1" applyBorder="1" applyAlignment="1"/>
    <xf numFmtId="0" fontId="6" fillId="2" borderId="3" xfId="0" applyFont="1" applyFill="1" applyBorder="1"/>
    <xf numFmtId="168" fontId="6" fillId="2" borderId="3" xfId="0" applyNumberFormat="1" applyFont="1" applyFill="1" applyBorder="1"/>
    <xf numFmtId="167" fontId="1" fillId="2" borderId="1" xfId="0" applyNumberFormat="1" applyFont="1" applyFill="1" applyBorder="1" applyAlignment="1">
      <alignment horizontal="left" vertical="center"/>
    </xf>
    <xf numFmtId="164" fontId="6" fillId="5" borderId="3" xfId="1" applyFont="1" applyFill="1" applyBorder="1" applyAlignment="1">
      <alignment horizontal="right"/>
    </xf>
    <xf numFmtId="164" fontId="6" fillId="2" borderId="3" xfId="1" applyFont="1" applyFill="1" applyBorder="1" applyAlignment="1">
      <alignment horizontal="right"/>
    </xf>
    <xf numFmtId="0" fontId="2" fillId="0" borderId="0" xfId="0" applyFont="1" applyFill="1" applyAlignment="1"/>
    <xf numFmtId="9" fontId="2" fillId="2" borderId="1" xfId="2" applyFont="1" applyFill="1" applyBorder="1"/>
    <xf numFmtId="9" fontId="2" fillId="5" borderId="0" xfId="2" applyFont="1" applyFill="1" applyAlignment="1"/>
    <xf numFmtId="9" fontId="2" fillId="2" borderId="2" xfId="2" applyFont="1" applyFill="1" applyBorder="1"/>
    <xf numFmtId="9" fontId="2" fillId="0" borderId="0" xfId="2" applyFont="1" applyAlignment="1"/>
    <xf numFmtId="0" fontId="2" fillId="5" borderId="0" xfId="0" applyFont="1" applyFill="1"/>
    <xf numFmtId="167" fontId="2" fillId="2" borderId="1" xfId="0" applyNumberFormat="1" applyFont="1" applyFill="1" applyBorder="1"/>
    <xf numFmtId="0" fontId="12" fillId="2" borderId="1" xfId="0" applyFont="1" applyFill="1" applyBorder="1" applyAlignment="1">
      <alignment vertical="top"/>
    </xf>
    <xf numFmtId="0" fontId="20" fillId="12" borderId="1" xfId="0" applyFont="1" applyFill="1" applyBorder="1" applyAlignment="1">
      <alignment vertical="center"/>
    </xf>
    <xf numFmtId="167" fontId="20" fillId="12" borderId="1" xfId="0" applyNumberFormat="1" applyFont="1" applyFill="1" applyBorder="1" applyAlignment="1">
      <alignment horizontal="left" vertical="center"/>
    </xf>
    <xf numFmtId="0" fontId="20" fillId="9" borderId="7" xfId="0" applyFont="1" applyFill="1" applyBorder="1"/>
    <xf numFmtId="0" fontId="21" fillId="10" borderId="8" xfId="0" applyFont="1" applyFill="1" applyBorder="1" applyAlignment="1"/>
    <xf numFmtId="0" fontId="20" fillId="9" borderId="9" xfId="0" applyFont="1" applyFill="1" applyBorder="1"/>
    <xf numFmtId="0" fontId="22" fillId="10" borderId="10" xfId="0" applyFont="1" applyFill="1" applyBorder="1" applyAlignment="1">
      <alignment horizontal="left"/>
    </xf>
    <xf numFmtId="0" fontId="20" fillId="10" borderId="11" xfId="0" applyFont="1" applyFill="1" applyBorder="1" applyAlignment="1">
      <alignment horizontal="left"/>
    </xf>
    <xf numFmtId="0" fontId="21" fillId="10" borderId="12" xfId="0" applyFont="1" applyFill="1" applyBorder="1" applyAlignment="1">
      <alignment horizontal="left"/>
    </xf>
    <xf numFmtId="0" fontId="23" fillId="13" borderId="13" xfId="0" applyFont="1" applyFill="1" applyBorder="1"/>
    <xf numFmtId="0" fontId="23" fillId="13" borderId="14" xfId="0" applyFont="1" applyFill="1" applyBorder="1"/>
    <xf numFmtId="0" fontId="20" fillId="10" borderId="11" xfId="0" applyFont="1" applyFill="1" applyBorder="1" applyAlignment="1"/>
    <xf numFmtId="0" fontId="21" fillId="10" borderId="12" xfId="0" applyFont="1" applyFill="1" applyBorder="1" applyAlignment="1"/>
    <xf numFmtId="0" fontId="20" fillId="12" borderId="4" xfId="0" applyFont="1" applyFill="1" applyBorder="1" applyAlignment="1">
      <alignment vertical="center"/>
    </xf>
    <xf numFmtId="168" fontId="20" fillId="12" borderId="5" xfId="0" applyNumberFormat="1" applyFont="1" applyFill="1" applyBorder="1" applyAlignment="1">
      <alignment vertical="center"/>
    </xf>
    <xf numFmtId="0" fontId="19" fillId="11" borderId="7" xfId="0" applyFont="1" applyFill="1" applyBorder="1" applyAlignment="1">
      <alignment vertical="center"/>
    </xf>
    <xf numFmtId="3" fontId="17" fillId="9" borderId="20" xfId="0" applyNumberFormat="1" applyFont="1" applyFill="1" applyBorder="1" applyAlignment="1">
      <alignment horizontal="right" vertical="center"/>
    </xf>
    <xf numFmtId="0" fontId="17" fillId="9" borderId="20" xfId="0" applyFont="1" applyFill="1" applyBorder="1" applyAlignment="1">
      <alignment vertical="center"/>
    </xf>
    <xf numFmtId="3" fontId="17" fillId="9" borderId="20" xfId="0" applyNumberFormat="1" applyFont="1" applyFill="1" applyBorder="1" applyAlignment="1">
      <alignment horizontal="left" vertical="center"/>
    </xf>
    <xf numFmtId="168" fontId="17" fillId="9" borderId="8" xfId="0" applyNumberFormat="1" applyFont="1" applyFill="1" applyBorder="1" applyAlignment="1">
      <alignment horizontal="left" vertical="center"/>
    </xf>
    <xf numFmtId="0" fontId="19" fillId="11" borderId="9" xfId="0" applyFont="1" applyFill="1" applyBorder="1" applyAlignment="1">
      <alignment vertical="center"/>
    </xf>
    <xf numFmtId="3" fontId="17" fillId="9" borderId="21" xfId="0" applyNumberFormat="1" applyFont="1" applyFill="1" applyBorder="1" applyAlignment="1">
      <alignment horizontal="right" vertical="center"/>
    </xf>
    <xf numFmtId="0" fontId="17" fillId="9" borderId="21" xfId="0" applyFont="1" applyFill="1" applyBorder="1" applyAlignment="1">
      <alignment vertical="center"/>
    </xf>
    <xf numFmtId="168" fontId="17" fillId="9" borderId="10" xfId="0" applyNumberFormat="1" applyFont="1" applyFill="1" applyBorder="1" applyAlignment="1">
      <alignment horizontal="left" vertical="center"/>
    </xf>
    <xf numFmtId="14" fontId="19" fillId="11" borderId="11" xfId="0" applyNumberFormat="1" applyFont="1" applyFill="1" applyBorder="1" applyAlignment="1"/>
    <xf numFmtId="3" fontId="17" fillId="9" borderId="22" xfId="0" applyNumberFormat="1" applyFont="1" applyFill="1" applyBorder="1" applyAlignment="1">
      <alignment horizontal="right" vertical="center"/>
    </xf>
    <xf numFmtId="0" fontId="17" fillId="9" borderId="22" xfId="0" applyFont="1" applyFill="1" applyBorder="1" applyAlignment="1">
      <alignment vertical="center"/>
    </xf>
    <xf numFmtId="168" fontId="17" fillId="9" borderId="12" xfId="0" applyNumberFormat="1" applyFont="1" applyFill="1" applyBorder="1" applyAlignment="1">
      <alignment horizontal="left" vertical="center"/>
    </xf>
    <xf numFmtId="0" fontId="23" fillId="13" borderId="23" xfId="0" applyFont="1" applyFill="1" applyBorder="1" applyAlignment="1">
      <alignment vertical="center"/>
    </xf>
    <xf numFmtId="0" fontId="23" fillId="13" borderId="23" xfId="0" applyFont="1" applyFill="1" applyBorder="1" applyAlignment="1">
      <alignment vertical="center" wrapText="1"/>
    </xf>
    <xf numFmtId="0" fontId="23" fillId="13" borderId="13" xfId="0" applyFont="1" applyFill="1" applyBorder="1" applyAlignment="1">
      <alignment vertical="center"/>
    </xf>
    <xf numFmtId="0" fontId="23" fillId="13" borderId="14" xfId="0" applyFont="1" applyFill="1" applyBorder="1" applyAlignment="1">
      <alignment vertical="center" wrapText="1"/>
    </xf>
    <xf numFmtId="0" fontId="26" fillId="11" borderId="7" xfId="0" applyFont="1" applyFill="1" applyBorder="1" applyAlignment="1">
      <alignment vertical="center"/>
    </xf>
    <xf numFmtId="3" fontId="15" fillId="9" borderId="20" xfId="0" applyNumberFormat="1" applyFont="1" applyFill="1" applyBorder="1" applyAlignment="1">
      <alignment horizontal="right" vertical="center"/>
    </xf>
    <xf numFmtId="0" fontId="15" fillId="9" borderId="20" xfId="0" applyFont="1" applyFill="1" applyBorder="1" applyAlignment="1">
      <alignment vertical="center"/>
    </xf>
    <xf numFmtId="168" fontId="15" fillId="9" borderId="8" xfId="0" applyNumberFormat="1" applyFont="1" applyFill="1" applyBorder="1" applyAlignment="1">
      <alignment horizontal="left" vertical="center"/>
    </xf>
    <xf numFmtId="0" fontId="26" fillId="11" borderId="9" xfId="0" applyFont="1" applyFill="1" applyBorder="1" applyAlignment="1">
      <alignment vertical="center"/>
    </xf>
    <xf numFmtId="3" fontId="15" fillId="9" borderId="21" xfId="0" applyNumberFormat="1" applyFont="1" applyFill="1" applyBorder="1" applyAlignment="1">
      <alignment horizontal="right" vertical="center"/>
    </xf>
    <xf numFmtId="0" fontId="15" fillId="9" borderId="21" xfId="0" applyFont="1" applyFill="1" applyBorder="1" applyAlignment="1">
      <alignment vertical="center"/>
    </xf>
    <xf numFmtId="168" fontId="15" fillId="9" borderId="10" xfId="0" applyNumberFormat="1" applyFont="1" applyFill="1" applyBorder="1" applyAlignment="1">
      <alignment horizontal="left" vertical="center"/>
    </xf>
    <xf numFmtId="3" fontId="15" fillId="9" borderId="22" xfId="0" applyNumberFormat="1" applyFont="1" applyFill="1" applyBorder="1" applyAlignment="1">
      <alignment horizontal="right" vertical="center"/>
    </xf>
    <xf numFmtId="0" fontId="15" fillId="9" borderId="22" xfId="0" applyFont="1" applyFill="1" applyBorder="1" applyAlignment="1">
      <alignment vertical="center"/>
    </xf>
    <xf numFmtId="168" fontId="15" fillId="9" borderId="12" xfId="0" applyNumberFormat="1" applyFont="1" applyFill="1" applyBorder="1" applyAlignment="1">
      <alignment horizontal="left" vertical="center"/>
    </xf>
    <xf numFmtId="9" fontId="15" fillId="10" borderId="17" xfId="2" applyFont="1" applyFill="1" applyBorder="1" applyAlignment="1"/>
    <xf numFmtId="9" fontId="15" fillId="10" borderId="18" xfId="2" applyFont="1" applyFill="1" applyBorder="1" applyAlignment="1"/>
    <xf numFmtId="9" fontId="15" fillId="10" borderId="19" xfId="2" applyFont="1" applyFill="1" applyBorder="1" applyAlignment="1"/>
    <xf numFmtId="0" fontId="19" fillId="9" borderId="9" xfId="0" applyFont="1" applyFill="1" applyBorder="1" applyAlignment="1">
      <alignment vertical="center"/>
    </xf>
    <xf numFmtId="3" fontId="17" fillId="9" borderId="21" xfId="0" applyNumberFormat="1" applyFont="1" applyFill="1" applyBorder="1" applyAlignment="1">
      <alignment vertical="center"/>
    </xf>
    <xf numFmtId="0" fontId="19" fillId="9" borderId="11" xfId="0" applyFont="1" applyFill="1" applyBorder="1" applyAlignment="1">
      <alignment horizontal="left"/>
    </xf>
    <xf numFmtId="3" fontId="17" fillId="9" borderId="22" xfId="0" applyNumberFormat="1" applyFont="1" applyFill="1" applyBorder="1" applyAlignment="1">
      <alignment vertical="center"/>
    </xf>
    <xf numFmtId="167" fontId="20" fillId="12" borderId="5" xfId="0" applyNumberFormat="1" applyFont="1" applyFill="1" applyBorder="1" applyAlignment="1">
      <alignment horizontal="left" vertical="center"/>
    </xf>
    <xf numFmtId="0" fontId="14" fillId="9" borderId="9" xfId="0" applyFont="1" applyFill="1" applyBorder="1" applyAlignment="1">
      <alignment vertical="center"/>
    </xf>
    <xf numFmtId="0" fontId="14" fillId="9" borderId="11" xfId="0" applyFont="1" applyFill="1" applyBorder="1" applyAlignment="1">
      <alignment horizontal="left"/>
    </xf>
    <xf numFmtId="0" fontId="20" fillId="12" borderId="16" xfId="0" applyFont="1" applyFill="1" applyBorder="1" applyAlignment="1">
      <alignment vertical="center"/>
    </xf>
    <xf numFmtId="167" fontId="20" fillId="12" borderId="5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left"/>
    </xf>
    <xf numFmtId="3" fontId="15" fillId="9" borderId="2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top"/>
    </xf>
    <xf numFmtId="169" fontId="23" fillId="18" borderId="25" xfId="0" applyNumberFormat="1" applyFont="1" applyFill="1" applyBorder="1" applyAlignment="1">
      <alignment vertical="center"/>
    </xf>
    <xf numFmtId="169" fontId="23" fillId="18" borderId="26" xfId="0" applyNumberFormat="1" applyFont="1" applyFill="1" applyBorder="1" applyAlignment="1">
      <alignment vertical="center"/>
    </xf>
    <xf numFmtId="0" fontId="14" fillId="15" borderId="4" xfId="0" applyFont="1" applyFill="1" applyBorder="1" applyAlignment="1">
      <alignment horizontal="left"/>
    </xf>
    <xf numFmtId="168" fontId="14" fillId="15" borderId="16" xfId="1" applyNumberFormat="1" applyFont="1" applyFill="1" applyBorder="1"/>
    <xf numFmtId="168" fontId="14" fillId="15" borderId="5" xfId="1" applyNumberFormat="1" applyFont="1" applyFill="1" applyBorder="1"/>
    <xf numFmtId="1" fontId="23" fillId="16" borderId="25" xfId="0" applyNumberFormat="1" applyFont="1" applyFill="1" applyBorder="1" applyAlignment="1">
      <alignment horizontal="right" wrapText="1"/>
    </xf>
    <xf numFmtId="1" fontId="23" fillId="16" borderId="26" xfId="0" applyNumberFormat="1" applyFont="1" applyFill="1" applyBorder="1" applyAlignment="1">
      <alignment horizontal="right" wrapText="1"/>
    </xf>
    <xf numFmtId="0" fontId="23" fillId="14" borderId="4" xfId="0" applyFont="1" applyFill="1" applyBorder="1" applyAlignment="1">
      <alignment horizontal="center" vertical="center"/>
    </xf>
    <xf numFmtId="1" fontId="23" fillId="14" borderId="16" xfId="0" applyNumberFormat="1" applyFont="1" applyFill="1" applyBorder="1" applyAlignment="1">
      <alignment horizontal="right"/>
    </xf>
    <xf numFmtId="0" fontId="14" fillId="17" borderId="4" xfId="0" applyFont="1" applyFill="1" applyBorder="1" applyAlignment="1"/>
    <xf numFmtId="168" fontId="14" fillId="17" borderId="16" xfId="1" applyNumberFormat="1" applyFont="1" applyFill="1" applyBorder="1" applyAlignment="1"/>
    <xf numFmtId="168" fontId="14" fillId="17" borderId="5" xfId="1" applyNumberFormat="1" applyFont="1" applyFill="1" applyBorder="1" applyAlignment="1"/>
    <xf numFmtId="168" fontId="15" fillId="9" borderId="20" xfId="1" applyNumberFormat="1" applyFont="1" applyFill="1" applyBorder="1" applyAlignment="1">
      <alignment horizontal="left" vertical="center"/>
    </xf>
    <xf numFmtId="168" fontId="15" fillId="9" borderId="8" xfId="1" applyNumberFormat="1" applyFont="1" applyFill="1" applyBorder="1" applyAlignment="1">
      <alignment horizontal="left" vertical="center"/>
    </xf>
    <xf numFmtId="168" fontId="15" fillId="9" borderId="21" xfId="1" applyNumberFormat="1" applyFont="1" applyFill="1" applyBorder="1" applyAlignment="1">
      <alignment horizontal="left" vertical="center"/>
    </xf>
    <xf numFmtId="168" fontId="15" fillId="9" borderId="10" xfId="1" applyNumberFormat="1" applyFont="1" applyFill="1" applyBorder="1" applyAlignment="1">
      <alignment horizontal="left" vertical="center"/>
    </xf>
    <xf numFmtId="168" fontId="15" fillId="9" borderId="22" xfId="1" applyNumberFormat="1" applyFont="1" applyFill="1" applyBorder="1" applyAlignment="1">
      <alignment horizontal="left" vertical="center"/>
    </xf>
    <xf numFmtId="168" fontId="15" fillId="9" borderId="12" xfId="1" applyNumberFormat="1" applyFont="1" applyFill="1" applyBorder="1" applyAlignment="1">
      <alignment horizontal="left" vertical="center"/>
    </xf>
    <xf numFmtId="0" fontId="23" fillId="14" borderId="27" xfId="0" applyFont="1" applyFill="1" applyBorder="1" applyAlignment="1">
      <alignment horizontal="center" vertical="center"/>
    </xf>
    <xf numFmtId="1" fontId="23" fillId="14" borderId="28" xfId="0" applyNumberFormat="1" applyFont="1" applyFill="1" applyBorder="1" applyAlignment="1">
      <alignment horizontal="right"/>
    </xf>
    <xf numFmtId="1" fontId="23" fillId="16" borderId="28" xfId="0" applyNumberFormat="1" applyFont="1" applyFill="1" applyBorder="1" applyAlignment="1">
      <alignment horizontal="right" wrapText="1"/>
    </xf>
    <xf numFmtId="0" fontId="21" fillId="10" borderId="21" xfId="0" applyFont="1" applyFill="1" applyBorder="1" applyAlignment="1"/>
    <xf numFmtId="0" fontId="21" fillId="9" borderId="21" xfId="0" applyFont="1" applyFill="1" applyBorder="1"/>
    <xf numFmtId="9" fontId="21" fillId="10" borderId="21" xfId="2" applyFont="1" applyFill="1" applyBorder="1" applyAlignment="1"/>
    <xf numFmtId="0" fontId="20" fillId="10" borderId="7" xfId="0" applyFont="1" applyFill="1" applyBorder="1" applyAlignment="1"/>
    <xf numFmtId="0" fontId="21" fillId="10" borderId="20" xfId="0" applyFont="1" applyFill="1" applyBorder="1" applyAlignment="1"/>
    <xf numFmtId="0" fontId="21" fillId="9" borderId="20" xfId="0" applyFont="1" applyFill="1" applyBorder="1"/>
    <xf numFmtId="0" fontId="20" fillId="10" borderId="9" xfId="0" applyFont="1" applyFill="1" applyBorder="1" applyAlignment="1"/>
    <xf numFmtId="0" fontId="21" fillId="9" borderId="10" xfId="0" applyFont="1" applyFill="1" applyBorder="1"/>
    <xf numFmtId="0" fontId="20" fillId="9" borderId="13" xfId="0" applyFont="1" applyFill="1" applyBorder="1"/>
    <xf numFmtId="0" fontId="27" fillId="10" borderId="14" xfId="0" applyFont="1" applyFill="1" applyBorder="1" applyAlignment="1">
      <alignment horizontal="left"/>
    </xf>
    <xf numFmtId="0" fontId="23" fillId="13" borderId="14" xfId="0" applyFont="1" applyFill="1" applyBorder="1" applyAlignment="1">
      <alignment horizontal="left"/>
    </xf>
    <xf numFmtId="0" fontId="23" fillId="13" borderId="27" xfId="0" applyFont="1" applyFill="1" applyBorder="1" applyAlignment="1">
      <alignment horizontal="right" vertical="center" wrapText="1"/>
    </xf>
    <xf numFmtId="0" fontId="23" fillId="13" borderId="28" xfId="0" applyFont="1" applyFill="1" applyBorder="1" applyAlignment="1">
      <alignment horizontal="right" vertical="center" wrapText="1"/>
    </xf>
    <xf numFmtId="0" fontId="23" fillId="17" borderId="28" xfId="0" applyFont="1" applyFill="1" applyBorder="1" applyAlignment="1">
      <alignment horizontal="right" vertical="center"/>
    </xf>
    <xf numFmtId="0" fontId="23" fillId="13" borderId="28" xfId="0" applyFont="1" applyFill="1" applyBorder="1" applyAlignment="1">
      <alignment horizontal="right" vertical="center"/>
    </xf>
    <xf numFmtId="0" fontId="23" fillId="13" borderId="29" xfId="0" applyFont="1" applyFill="1" applyBorder="1" applyAlignment="1">
      <alignment horizontal="right" vertical="center" wrapText="1"/>
    </xf>
    <xf numFmtId="0" fontId="2" fillId="2" borderId="21" xfId="0" applyFont="1" applyFill="1" applyBorder="1"/>
    <xf numFmtId="0" fontId="2" fillId="2" borderId="22" xfId="0" applyFont="1" applyFill="1" applyBorder="1"/>
    <xf numFmtId="0" fontId="21" fillId="0" borderId="36" xfId="0" quotePrefix="1" applyFont="1" applyFill="1" applyBorder="1"/>
    <xf numFmtId="0" fontId="21" fillId="0" borderId="20" xfId="0" quotePrefix="1" applyFont="1" applyFill="1" applyBorder="1"/>
    <xf numFmtId="0" fontId="21" fillId="0" borderId="8" xfId="0" quotePrefix="1" applyFont="1" applyFill="1" applyBorder="1"/>
    <xf numFmtId="0" fontId="21" fillId="0" borderId="21" xfId="0" quotePrefix="1" applyFont="1" applyFill="1" applyBorder="1"/>
    <xf numFmtId="0" fontId="21" fillId="0" borderId="10" xfId="0" quotePrefix="1" applyFont="1" applyFill="1" applyBorder="1"/>
    <xf numFmtId="0" fontId="21" fillId="9" borderId="9" xfId="0" quotePrefix="1" applyFont="1" applyFill="1" applyBorder="1"/>
    <xf numFmtId="0" fontId="21" fillId="2" borderId="21" xfId="0" quotePrefix="1" applyFont="1" applyFill="1" applyBorder="1"/>
    <xf numFmtId="0" fontId="21" fillId="2" borderId="10" xfId="0" quotePrefix="1" applyFont="1" applyFill="1" applyBorder="1"/>
    <xf numFmtId="0" fontId="21" fillId="9" borderId="9" xfId="0" applyFont="1" applyFill="1" applyBorder="1"/>
    <xf numFmtId="0" fontId="21" fillId="2" borderId="21" xfId="0" applyFont="1" applyFill="1" applyBorder="1"/>
    <xf numFmtId="0" fontId="21" fillId="2" borderId="10" xfId="0" applyFont="1" applyFill="1" applyBorder="1"/>
    <xf numFmtId="0" fontId="21" fillId="2" borderId="22" xfId="0" applyFont="1" applyFill="1" applyBorder="1"/>
    <xf numFmtId="0" fontId="21" fillId="2" borderId="12" xfId="0" applyFont="1" applyFill="1" applyBorder="1"/>
    <xf numFmtId="0" fontId="7" fillId="13" borderId="27" xfId="0" applyFont="1" applyFill="1" applyBorder="1"/>
    <xf numFmtId="0" fontId="7" fillId="13" borderId="28" xfId="0" applyFont="1" applyFill="1" applyBorder="1"/>
    <xf numFmtId="0" fontId="7" fillId="13" borderId="28" xfId="0" applyFont="1" applyFill="1" applyBorder="1" applyAlignment="1">
      <alignment horizontal="left"/>
    </xf>
    <xf numFmtId="0" fontId="7" fillId="13" borderId="29" xfId="0" applyFont="1" applyFill="1" applyBorder="1"/>
    <xf numFmtId="0" fontId="21" fillId="9" borderId="21" xfId="0" applyFont="1" applyFill="1" applyBorder="1" applyAlignment="1">
      <alignment horizontal="right"/>
    </xf>
    <xf numFmtId="0" fontId="2" fillId="2" borderId="37" xfId="0" applyFont="1" applyFill="1" applyBorder="1"/>
    <xf numFmtId="0" fontId="2" fillId="2" borderId="38" xfId="0" applyFont="1" applyFill="1" applyBorder="1"/>
    <xf numFmtId="0" fontId="28" fillId="2" borderId="1" xfId="0" applyFont="1" applyFill="1" applyBorder="1" applyAlignment="1">
      <alignment vertical="center"/>
    </xf>
    <xf numFmtId="9" fontId="30" fillId="10" borderId="17" xfId="2" applyFont="1" applyFill="1" applyBorder="1" applyAlignment="1"/>
    <xf numFmtId="9" fontId="30" fillId="10" borderId="18" xfId="2" applyFont="1" applyFill="1" applyBorder="1" applyAlignment="1"/>
    <xf numFmtId="9" fontId="30" fillId="10" borderId="19" xfId="2" applyFont="1" applyFill="1" applyBorder="1" applyAlignment="1"/>
    <xf numFmtId="9" fontId="30" fillId="5" borderId="0" xfId="2" applyFont="1" applyFill="1" applyAlignment="1"/>
    <xf numFmtId="0" fontId="6" fillId="5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/>
    </xf>
    <xf numFmtId="0" fontId="29" fillId="2" borderId="2" xfId="0" applyFont="1" applyFill="1" applyBorder="1" applyAlignment="1">
      <alignment horizontal="right" vertical="center"/>
    </xf>
    <xf numFmtId="0" fontId="21" fillId="9" borderId="7" xfId="0" quotePrefix="1" applyFont="1" applyFill="1" applyBorder="1"/>
    <xf numFmtId="14" fontId="26" fillId="11" borderId="24" xfId="0" applyNumberFormat="1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21" fillId="9" borderId="39" xfId="0" applyFont="1" applyFill="1" applyBorder="1"/>
    <xf numFmtId="0" fontId="21" fillId="9" borderId="41" xfId="0" applyFont="1" applyFill="1" applyBorder="1"/>
    <xf numFmtId="0" fontId="21" fillId="5" borderId="7" xfId="0" quotePrefix="1" applyFont="1" applyFill="1" applyBorder="1"/>
    <xf numFmtId="0" fontId="21" fillId="5" borderId="20" xfId="0" quotePrefix="1" applyFont="1" applyFill="1" applyBorder="1"/>
    <xf numFmtId="0" fontId="21" fillId="5" borderId="34" xfId="0" quotePrefix="1" applyFont="1" applyFill="1" applyBorder="1"/>
    <xf numFmtId="0" fontId="21" fillId="5" borderId="21" xfId="0" quotePrefix="1" applyFont="1" applyFill="1" applyBorder="1"/>
    <xf numFmtId="0" fontId="21" fillId="5" borderId="33" xfId="0" quotePrefix="1" applyFont="1" applyFill="1" applyBorder="1"/>
    <xf numFmtId="0" fontId="21" fillId="2" borderId="9" xfId="0" quotePrefix="1" applyFont="1" applyFill="1" applyBorder="1"/>
    <xf numFmtId="0" fontId="21" fillId="2" borderId="9" xfId="0" applyFont="1" applyFill="1" applyBorder="1"/>
    <xf numFmtId="0" fontId="21" fillId="2" borderId="33" xfId="0" applyFont="1" applyFill="1" applyBorder="1"/>
    <xf numFmtId="0" fontId="21" fillId="2" borderId="11" xfId="0" applyFont="1" applyFill="1" applyBorder="1"/>
    <xf numFmtId="0" fontId="21" fillId="2" borderId="35" xfId="0" applyFont="1" applyFill="1" applyBorder="1"/>
    <xf numFmtId="0" fontId="20" fillId="10" borderId="42" xfId="0" applyFont="1" applyFill="1" applyBorder="1" applyAlignment="1"/>
    <xf numFmtId="0" fontId="21" fillId="10" borderId="45" xfId="0" applyFont="1" applyFill="1" applyBorder="1" applyAlignment="1"/>
    <xf numFmtId="0" fontId="21" fillId="9" borderId="45" xfId="0" applyFont="1" applyFill="1" applyBorder="1"/>
    <xf numFmtId="0" fontId="21" fillId="9" borderId="44" xfId="0" applyFont="1" applyFill="1" applyBorder="1"/>
    <xf numFmtId="0" fontId="20" fillId="10" borderId="46" xfId="0" applyFont="1" applyFill="1" applyBorder="1" applyAlignment="1"/>
    <xf numFmtId="9" fontId="21" fillId="10" borderId="45" xfId="2" applyFont="1" applyFill="1" applyBorder="1" applyAlignment="1"/>
    <xf numFmtId="0" fontId="21" fillId="9" borderId="45" xfId="0" applyFont="1" applyFill="1" applyBorder="1" applyAlignment="1">
      <alignment horizontal="right"/>
    </xf>
    <xf numFmtId="0" fontId="21" fillId="9" borderId="46" xfId="0" applyFont="1" applyFill="1" applyBorder="1"/>
    <xf numFmtId="0" fontId="21" fillId="9" borderId="40" xfId="0" applyFont="1" applyFill="1" applyBorder="1"/>
    <xf numFmtId="0" fontId="21" fillId="9" borderId="47" xfId="0" applyFont="1" applyFill="1" applyBorder="1"/>
    <xf numFmtId="0" fontId="21" fillId="9" borderId="48" xfId="0" applyFont="1" applyFill="1" applyBorder="1"/>
    <xf numFmtId="0" fontId="21" fillId="9" borderId="37" xfId="0" applyFont="1" applyFill="1" applyBorder="1"/>
    <xf numFmtId="0" fontId="21" fillId="9" borderId="43" xfId="0" applyFont="1" applyFill="1" applyBorder="1"/>
    <xf numFmtId="0" fontId="21" fillId="9" borderId="43" xfId="0" applyFont="1" applyFill="1" applyBorder="1" applyAlignment="1">
      <alignment horizontal="right"/>
    </xf>
    <xf numFmtId="0" fontId="21" fillId="9" borderId="49" xfId="0" applyFont="1" applyFill="1" applyBorder="1"/>
    <xf numFmtId="4" fontId="21" fillId="0" borderId="21" xfId="0" quotePrefix="1" applyNumberFormat="1" applyFont="1" applyFill="1" applyBorder="1"/>
    <xf numFmtId="4" fontId="21" fillId="2" borderId="21" xfId="0" applyNumberFormat="1" applyFont="1" applyFill="1" applyBorder="1"/>
    <xf numFmtId="4" fontId="21" fillId="2" borderId="22" xfId="0" applyNumberFormat="1" applyFont="1" applyFill="1" applyBorder="1"/>
    <xf numFmtId="3" fontId="21" fillId="0" borderId="20" xfId="0" quotePrefix="1" applyNumberFormat="1" applyFont="1" applyBorder="1"/>
    <xf numFmtId="4" fontId="21" fillId="0" borderId="22" xfId="0" quotePrefix="1" applyNumberFormat="1" applyFont="1" applyFill="1" applyBorder="1"/>
    <xf numFmtId="0" fontId="6" fillId="2" borderId="2" xfId="0" applyFont="1" applyFill="1" applyBorder="1"/>
    <xf numFmtId="168" fontId="15" fillId="9" borderId="28" xfId="1" applyNumberFormat="1" applyFont="1" applyFill="1" applyBorder="1" applyAlignment="1">
      <alignment horizontal="left" vertical="center"/>
    </xf>
    <xf numFmtId="168" fontId="15" fillId="9" borderId="29" xfId="1" applyNumberFormat="1" applyFont="1" applyFill="1" applyBorder="1" applyAlignment="1">
      <alignment horizontal="left" vertical="center"/>
    </xf>
    <xf numFmtId="168" fontId="15" fillId="9" borderId="25" xfId="1" applyNumberFormat="1" applyFont="1" applyFill="1" applyBorder="1" applyAlignment="1">
      <alignment horizontal="left" vertical="center"/>
    </xf>
    <xf numFmtId="168" fontId="15" fillId="9" borderId="26" xfId="1" applyNumberFormat="1" applyFont="1" applyFill="1" applyBorder="1" applyAlignment="1">
      <alignment horizontal="left" vertical="center"/>
    </xf>
    <xf numFmtId="0" fontId="23" fillId="13" borderId="4" xfId="0" applyFont="1" applyFill="1" applyBorder="1"/>
    <xf numFmtId="0" fontId="23" fillId="13" borderId="5" xfId="0" applyFont="1" applyFill="1" applyBorder="1" applyAlignment="1">
      <alignment horizontal="left"/>
    </xf>
    <xf numFmtId="3" fontId="17" fillId="11" borderId="7" xfId="0" applyNumberFormat="1" applyFont="1" applyFill="1" applyBorder="1" applyAlignment="1">
      <alignment vertical="center"/>
    </xf>
    <xf numFmtId="9" fontId="21" fillId="10" borderId="45" xfId="0" applyNumberFormat="1" applyFont="1" applyFill="1" applyBorder="1" applyAlignment="1"/>
    <xf numFmtId="9" fontId="21" fillId="10" borderId="43" xfId="0" applyNumberFormat="1" applyFont="1" applyFill="1" applyBorder="1" applyAlignment="1"/>
    <xf numFmtId="167" fontId="20" fillId="12" borderId="5" xfId="0" applyNumberFormat="1" applyFont="1" applyFill="1" applyBorder="1" applyAlignment="1">
      <alignment vertical="center"/>
    </xf>
    <xf numFmtId="0" fontId="21" fillId="2" borderId="39" xfId="0" applyFont="1" applyFill="1" applyBorder="1"/>
    <xf numFmtId="0" fontId="21" fillId="0" borderId="36" xfId="0" quotePrefix="1" applyFont="1" applyBorder="1"/>
    <xf numFmtId="0" fontId="21" fillId="0" borderId="20" xfId="0" quotePrefix="1" applyFont="1" applyBorder="1"/>
    <xf numFmtId="4" fontId="21" fillId="0" borderId="21" xfId="0" quotePrefix="1" applyNumberFormat="1" applyFont="1" applyBorder="1"/>
    <xf numFmtId="4" fontId="21" fillId="0" borderId="21" xfId="0" applyNumberFormat="1" applyFont="1" applyFill="1" applyBorder="1"/>
    <xf numFmtId="0" fontId="2" fillId="2" borderId="2" xfId="4" applyFont="1" applyFill="1"/>
    <xf numFmtId="0" fontId="31" fillId="0" borderId="2" xfId="4" applyFont="1"/>
    <xf numFmtId="0" fontId="12" fillId="2" borderId="2" xfId="4" applyFont="1" applyFill="1" applyAlignment="1">
      <alignment horizontal="right" vertical="top"/>
    </xf>
    <xf numFmtId="0" fontId="2" fillId="2" borderId="2" xfId="4" applyFont="1" applyFill="1" applyAlignment="1">
      <alignment vertical="top"/>
    </xf>
    <xf numFmtId="0" fontId="2" fillId="2" borderId="2" xfId="4" applyFont="1" applyFill="1" applyAlignment="1">
      <alignment horizontal="left"/>
    </xf>
    <xf numFmtId="0" fontId="14" fillId="20" borderId="13" xfId="4" applyFont="1" applyFill="1" applyBorder="1"/>
    <xf numFmtId="0" fontId="4" fillId="2" borderId="2" xfId="4" applyFont="1" applyFill="1"/>
    <xf numFmtId="0" fontId="1" fillId="20" borderId="4" xfId="4" applyFont="1" applyFill="1" applyBorder="1"/>
    <xf numFmtId="0" fontId="1" fillId="20" borderId="5" xfId="4" applyFont="1" applyFill="1" applyBorder="1" applyAlignment="1">
      <alignment horizontal="left"/>
    </xf>
    <xf numFmtId="0" fontId="14" fillId="21" borderId="9" xfId="4" applyFont="1" applyFill="1" applyBorder="1"/>
    <xf numFmtId="0" fontId="33" fillId="2" borderId="2" xfId="4" applyFont="1" applyFill="1"/>
    <xf numFmtId="0" fontId="14" fillId="21" borderId="13" xfId="4" applyFont="1" applyFill="1" applyBorder="1"/>
    <xf numFmtId="0" fontId="15" fillId="21" borderId="8" xfId="4" applyFont="1" applyFill="1" applyBorder="1"/>
    <xf numFmtId="0" fontId="14" fillId="21" borderId="11" xfId="4" applyFont="1" applyFill="1" applyBorder="1" applyAlignment="1">
      <alignment horizontal="left"/>
    </xf>
    <xf numFmtId="0" fontId="15" fillId="21" borderId="10" xfId="4" applyFont="1" applyFill="1" applyBorder="1" applyAlignment="1">
      <alignment horizontal="left"/>
    </xf>
    <xf numFmtId="0" fontId="14" fillId="22" borderId="2" xfId="4" applyFont="1" applyFill="1" applyAlignment="1">
      <alignment horizontal="left"/>
    </xf>
    <xf numFmtId="0" fontId="15" fillId="22" borderId="2" xfId="4" applyFont="1" applyFill="1" applyAlignment="1">
      <alignment horizontal="left"/>
    </xf>
    <xf numFmtId="0" fontId="15" fillId="22" borderId="37" xfId="4" applyFont="1" applyFill="1" applyBorder="1" applyAlignment="1">
      <alignment horizontal="left"/>
    </xf>
    <xf numFmtId="0" fontId="15" fillId="21" borderId="12" xfId="4" applyFont="1" applyFill="1" applyBorder="1" applyAlignment="1">
      <alignment horizontal="left"/>
    </xf>
    <xf numFmtId="0" fontId="2" fillId="2" borderId="37" xfId="4" applyFont="1" applyFill="1" applyBorder="1"/>
    <xf numFmtId="0" fontId="3" fillId="2" borderId="2" xfId="4" applyFont="1" applyFill="1" applyAlignment="1">
      <alignment vertical="center"/>
    </xf>
    <xf numFmtId="0" fontId="32" fillId="0" borderId="54" xfId="4" applyFont="1" applyBorder="1"/>
    <xf numFmtId="0" fontId="32" fillId="0" borderId="28" xfId="4" applyFont="1" applyBorder="1"/>
    <xf numFmtId="0" fontId="3" fillId="2" borderId="2" xfId="4" applyFont="1" applyFill="1" applyAlignment="1">
      <alignment horizontal="left" vertical="center"/>
    </xf>
    <xf numFmtId="0" fontId="14" fillId="20" borderId="4" xfId="4" applyFont="1" applyFill="1" applyBorder="1" applyAlignment="1">
      <alignment horizontal="center" vertical="center"/>
    </xf>
    <xf numFmtId="1" fontId="14" fillId="20" borderId="16" xfId="4" applyNumberFormat="1" applyFont="1" applyFill="1" applyBorder="1" applyAlignment="1">
      <alignment horizontal="right"/>
    </xf>
    <xf numFmtId="0" fontId="14" fillId="20" borderId="13" xfId="4" applyFont="1" applyFill="1" applyBorder="1" applyAlignment="1">
      <alignment vertical="center"/>
    </xf>
    <xf numFmtId="0" fontId="14" fillId="20" borderId="23" xfId="4" applyFont="1" applyFill="1" applyBorder="1" applyAlignment="1">
      <alignment vertical="center"/>
    </xf>
    <xf numFmtId="0" fontId="14" fillId="20" borderId="23" xfId="4" applyFont="1" applyFill="1" applyBorder="1" applyAlignment="1">
      <alignment vertical="center" wrapText="1"/>
    </xf>
    <xf numFmtId="0" fontId="14" fillId="20" borderId="14" xfId="4" applyFont="1" applyFill="1" applyBorder="1" applyAlignment="1">
      <alignment vertical="center" wrapText="1"/>
    </xf>
    <xf numFmtId="1" fontId="14" fillId="19" borderId="28" xfId="4" applyNumberFormat="1" applyFont="1" applyFill="1" applyBorder="1" applyAlignment="1">
      <alignment horizontal="right" wrapText="1"/>
    </xf>
    <xf numFmtId="0" fontId="10" fillId="2" borderId="2" xfId="4" applyFont="1" applyFill="1"/>
    <xf numFmtId="0" fontId="14" fillId="21" borderId="7" xfId="4" applyFont="1" applyFill="1" applyBorder="1" applyAlignment="1">
      <alignment vertical="center"/>
    </xf>
    <xf numFmtId="0" fontId="15" fillId="21" borderId="20" xfId="4" applyFont="1" applyFill="1" applyBorder="1" applyAlignment="1">
      <alignment vertical="center"/>
    </xf>
    <xf numFmtId="170" fontId="15" fillId="21" borderId="20" xfId="4" applyNumberFormat="1" applyFont="1" applyFill="1" applyBorder="1" applyAlignment="1">
      <alignment horizontal="left" vertical="center"/>
    </xf>
    <xf numFmtId="168" fontId="15" fillId="21" borderId="8" xfId="4" applyNumberFormat="1" applyFont="1" applyFill="1" applyBorder="1" applyAlignment="1">
      <alignment horizontal="left" vertical="center"/>
    </xf>
    <xf numFmtId="9" fontId="15" fillId="21" borderId="8" xfId="5" applyFont="1" applyFill="1" applyBorder="1" applyAlignment="1">
      <alignment horizontal="left" vertical="center"/>
    </xf>
    <xf numFmtId="168" fontId="15" fillId="21" borderId="20" xfId="4" applyNumberFormat="1" applyFont="1" applyFill="1" applyBorder="1" applyAlignment="1">
      <alignment horizontal="left" vertical="center"/>
    </xf>
    <xf numFmtId="0" fontId="2" fillId="2" borderId="2" xfId="4" applyFont="1" applyFill="1" applyAlignment="1">
      <alignment vertical="center"/>
    </xf>
    <xf numFmtId="3" fontId="2" fillId="2" borderId="2" xfId="4" applyNumberFormat="1" applyFont="1" applyFill="1" applyAlignment="1">
      <alignment horizontal="right" vertical="center"/>
    </xf>
    <xf numFmtId="168" fontId="2" fillId="2" borderId="2" xfId="4" applyNumberFormat="1" applyFont="1" applyFill="1" applyAlignment="1">
      <alignment horizontal="left" vertical="center"/>
    </xf>
    <xf numFmtId="166" fontId="2" fillId="2" borderId="2" xfId="4" applyNumberFormat="1" applyFont="1" applyFill="1"/>
    <xf numFmtId="3" fontId="15" fillId="21" borderId="20" xfId="4" applyNumberFormat="1" applyFont="1" applyFill="1" applyBorder="1" applyAlignment="1">
      <alignment horizontal="left" vertical="center"/>
    </xf>
    <xf numFmtId="0" fontId="1" fillId="2" borderId="2" xfId="4" applyFont="1" applyFill="1"/>
    <xf numFmtId="0" fontId="14" fillId="21" borderId="9" xfId="4" applyFont="1" applyFill="1" applyBorder="1" applyAlignment="1">
      <alignment vertical="center"/>
    </xf>
    <xf numFmtId="0" fontId="1" fillId="2" borderId="2" xfId="4" applyFont="1" applyFill="1" applyAlignment="1">
      <alignment vertical="center"/>
    </xf>
    <xf numFmtId="0" fontId="14" fillId="19" borderId="24" xfId="4" applyFont="1" applyFill="1" applyBorder="1" applyAlignment="1">
      <alignment vertical="center" wrapText="1"/>
    </xf>
    <xf numFmtId="169" fontId="14" fillId="19" borderId="25" xfId="4" applyNumberFormat="1" applyFont="1" applyFill="1" applyBorder="1" applyAlignment="1">
      <alignment vertical="center"/>
    </xf>
    <xf numFmtId="167" fontId="2" fillId="2" borderId="2" xfId="4" applyNumberFormat="1" applyFont="1" applyFill="1" applyAlignment="1">
      <alignment vertical="center"/>
    </xf>
    <xf numFmtId="3" fontId="2" fillId="2" borderId="2" xfId="4" applyNumberFormat="1" applyFont="1" applyFill="1" applyAlignment="1">
      <alignment horizontal="left"/>
    </xf>
    <xf numFmtId="168" fontId="2" fillId="2" borderId="2" xfId="4" applyNumberFormat="1" applyFont="1" applyFill="1"/>
    <xf numFmtId="0" fontId="3" fillId="3" borderId="55" xfId="4" applyFont="1" applyFill="1" applyBorder="1" applyAlignment="1">
      <alignment horizontal="center" vertical="center"/>
    </xf>
    <xf numFmtId="0" fontId="32" fillId="0" borderId="56" xfId="4" applyFont="1" applyBorder="1"/>
    <xf numFmtId="0" fontId="32" fillId="0" borderId="57" xfId="4" applyFont="1" applyBorder="1"/>
    <xf numFmtId="0" fontId="3" fillId="4" borderId="58" xfId="4" applyFont="1" applyFill="1" applyBorder="1"/>
    <xf numFmtId="0" fontId="3" fillId="4" borderId="58" xfId="4" applyFont="1" applyFill="1" applyBorder="1" applyAlignment="1">
      <alignment wrapText="1"/>
    </xf>
    <xf numFmtId="0" fontId="4" fillId="4" borderId="58" xfId="4" applyFont="1" applyFill="1" applyBorder="1" applyAlignment="1">
      <alignment wrapText="1"/>
    </xf>
    <xf numFmtId="0" fontId="2" fillId="2" borderId="58" xfId="4" applyFont="1" applyFill="1" applyBorder="1"/>
    <xf numFmtId="164" fontId="2" fillId="2" borderId="58" xfId="4" applyNumberFormat="1" applyFont="1" applyFill="1" applyBorder="1" applyAlignment="1">
      <alignment horizontal="right"/>
    </xf>
    <xf numFmtId="168" fontId="2" fillId="2" borderId="58" xfId="4" applyNumberFormat="1" applyFont="1" applyFill="1" applyBorder="1"/>
    <xf numFmtId="0" fontId="2" fillId="2" borderId="2" xfId="4" applyFont="1" applyFill="1" applyAlignment="1">
      <alignment horizontal="center"/>
    </xf>
    <xf numFmtId="167" fontId="1" fillId="2" borderId="2" xfId="4" applyNumberFormat="1" applyFont="1" applyFill="1" applyAlignment="1">
      <alignment horizontal="left" vertical="center"/>
    </xf>
    <xf numFmtId="0" fontId="5" fillId="2" borderId="2" xfId="4" applyFont="1" applyFill="1" applyAlignment="1">
      <alignment vertical="center" wrapText="1"/>
    </xf>
    <xf numFmtId="167" fontId="1" fillId="2" borderId="2" xfId="4" applyNumberFormat="1" applyFont="1" applyFill="1" applyAlignment="1">
      <alignment horizontal="center" vertical="center"/>
    </xf>
    <xf numFmtId="0" fontId="14" fillId="19" borderId="24" xfId="4" applyFont="1" applyFill="1" applyBorder="1"/>
    <xf numFmtId="0" fontId="26" fillId="21" borderId="7" xfId="4" applyFont="1" applyFill="1" applyBorder="1" applyAlignment="1">
      <alignment vertical="center"/>
    </xf>
    <xf numFmtId="0" fontId="35" fillId="0" borderId="2" xfId="4" applyFont="1" applyAlignment="1">
      <alignment horizontal="left" vertical="center" readingOrder="1"/>
    </xf>
    <xf numFmtId="0" fontId="1" fillId="19" borderId="27" xfId="4" applyFont="1" applyFill="1" applyBorder="1" applyAlignment="1">
      <alignment horizontal="center" vertical="center"/>
    </xf>
    <xf numFmtId="0" fontId="14" fillId="20" borderId="27" xfId="4" applyFont="1" applyFill="1" applyBorder="1" applyAlignment="1">
      <alignment horizontal="center" vertical="center"/>
    </xf>
    <xf numFmtId="1" fontId="14" fillId="20" borderId="28" xfId="4" applyNumberFormat="1" applyFont="1" applyFill="1" applyBorder="1" applyAlignment="1">
      <alignment horizontal="right"/>
    </xf>
    <xf numFmtId="0" fontId="14" fillId="19" borderId="27" xfId="4" applyFont="1" applyFill="1" applyBorder="1"/>
    <xf numFmtId="0" fontId="14" fillId="21" borderId="7" xfId="4" applyFont="1" applyFill="1" applyBorder="1"/>
    <xf numFmtId="9" fontId="15" fillId="21" borderId="20" xfId="5" applyFont="1" applyFill="1" applyBorder="1"/>
    <xf numFmtId="0" fontId="14" fillId="21" borderId="59" xfId="4" applyFont="1" applyFill="1" applyBorder="1"/>
    <xf numFmtId="9" fontId="15" fillId="21" borderId="60" xfId="5" applyFont="1" applyFill="1" applyBorder="1"/>
    <xf numFmtId="0" fontId="14" fillId="21" borderId="39" xfId="4" applyFont="1" applyFill="1" applyBorder="1"/>
    <xf numFmtId="168" fontId="15" fillId="21" borderId="40" xfId="4" applyNumberFormat="1" applyFont="1" applyFill="1" applyBorder="1" applyAlignment="1">
      <alignment horizontal="left" vertical="center"/>
    </xf>
    <xf numFmtId="0" fontId="15" fillId="21" borderId="21" xfId="4" applyFont="1" applyFill="1" applyBorder="1"/>
    <xf numFmtId="9" fontId="15" fillId="21" borderId="60" xfId="4" applyNumberFormat="1" applyFont="1" applyFill="1" applyBorder="1"/>
    <xf numFmtId="0" fontId="37" fillId="24" borderId="24" xfId="0" applyFont="1" applyFill="1" applyBorder="1" applyAlignment="1"/>
    <xf numFmtId="1" fontId="37" fillId="24" borderId="28" xfId="0" applyNumberFormat="1" applyFont="1" applyFill="1" applyBorder="1" applyAlignment="1">
      <alignment horizontal="right" wrapText="1"/>
    </xf>
    <xf numFmtId="0" fontId="37" fillId="24" borderId="24" xfId="0" applyFont="1" applyFill="1" applyBorder="1"/>
    <xf numFmtId="1" fontId="37" fillId="24" borderId="25" xfId="0" applyNumberFormat="1" applyFont="1" applyFill="1" applyBorder="1" applyAlignment="1">
      <alignment horizontal="right" wrapText="1"/>
    </xf>
    <xf numFmtId="0" fontId="37" fillId="25" borderId="24" xfId="0" applyFont="1" applyFill="1" applyBorder="1" applyAlignment="1">
      <alignment vertical="center" wrapText="1"/>
    </xf>
    <xf numFmtId="169" fontId="37" fillId="25" borderId="25" xfId="0" applyNumberFormat="1" applyFont="1" applyFill="1" applyBorder="1" applyAlignment="1">
      <alignment vertical="center"/>
    </xf>
    <xf numFmtId="0" fontId="15" fillId="2" borderId="2" xfId="0" applyFont="1" applyFill="1" applyBorder="1"/>
    <xf numFmtId="0" fontId="3" fillId="23" borderId="4" xfId="0" applyFont="1" applyFill="1" applyBorder="1" applyAlignment="1">
      <alignment vertical="center"/>
    </xf>
    <xf numFmtId="0" fontId="3" fillId="23" borderId="16" xfId="0" applyFont="1" applyFill="1" applyBorder="1" applyAlignment="1">
      <alignment vertical="center"/>
    </xf>
    <xf numFmtId="0" fontId="3" fillId="23" borderId="5" xfId="0" applyFont="1" applyFill="1" applyBorder="1" applyAlignment="1">
      <alignment horizontal="left" vertical="center"/>
    </xf>
    <xf numFmtId="0" fontId="38" fillId="27" borderId="24" xfId="4" applyFont="1" applyFill="1" applyBorder="1" applyAlignment="1">
      <alignment vertical="center" wrapText="1"/>
    </xf>
    <xf numFmtId="169" fontId="38" fillId="27" borderId="25" xfId="4" applyNumberFormat="1" applyFont="1" applyFill="1" applyBorder="1" applyAlignment="1">
      <alignment vertical="center"/>
    </xf>
    <xf numFmtId="0" fontId="37" fillId="24" borderId="27" xfId="0" applyFont="1" applyFill="1" applyBorder="1" applyAlignment="1"/>
    <xf numFmtId="10" fontId="2" fillId="5" borderId="0" xfId="2" applyNumberFormat="1" applyFont="1" applyFill="1" applyAlignment="1"/>
    <xf numFmtId="9" fontId="21" fillId="10" borderId="43" xfId="2" applyFont="1" applyFill="1" applyBorder="1" applyAlignment="1"/>
    <xf numFmtId="0" fontId="20" fillId="10" borderId="39" xfId="0" applyFont="1" applyFill="1" applyBorder="1" applyAlignment="1"/>
    <xf numFmtId="9" fontId="21" fillId="10" borderId="40" xfId="2" applyFont="1" applyFill="1" applyBorder="1" applyAlignment="1"/>
    <xf numFmtId="0" fontId="20" fillId="10" borderId="61" xfId="0" applyFont="1" applyFill="1" applyBorder="1" applyAlignment="1"/>
    <xf numFmtId="9" fontId="21" fillId="10" borderId="62" xfId="0" applyNumberFormat="1" applyFont="1" applyFill="1" applyBorder="1" applyAlignment="1"/>
    <xf numFmtId="168" fontId="15" fillId="9" borderId="63" xfId="1" applyNumberFormat="1" applyFont="1" applyFill="1" applyBorder="1" applyAlignment="1">
      <alignment horizontal="left" vertical="center"/>
    </xf>
    <xf numFmtId="2" fontId="21" fillId="10" borderId="43" xfId="0" applyNumberFormat="1" applyFont="1" applyFill="1" applyBorder="1" applyAlignment="1"/>
    <xf numFmtId="0" fontId="15" fillId="2" borderId="2" xfId="0" applyFont="1" applyFill="1" applyBorder="1" applyAlignment="1">
      <alignment horizontal="right"/>
    </xf>
    <xf numFmtId="168" fontId="15" fillId="9" borderId="40" xfId="1" applyNumberFormat="1" applyFont="1" applyFill="1" applyBorder="1" applyAlignment="1">
      <alignment horizontal="left" vertical="center"/>
    </xf>
    <xf numFmtId="9" fontId="21" fillId="10" borderId="62" xfId="2" applyFont="1" applyFill="1" applyBorder="1" applyAlignment="1"/>
    <xf numFmtId="2" fontId="21" fillId="10" borderId="45" xfId="0" applyNumberFormat="1" applyFont="1" applyFill="1" applyBorder="1" applyAlignment="1"/>
    <xf numFmtId="0" fontId="20" fillId="10" borderId="41" xfId="0" applyFont="1" applyFill="1" applyBorder="1" applyAlignment="1"/>
    <xf numFmtId="2" fontId="21" fillId="10" borderId="63" xfId="2" applyNumberFormat="1" applyFont="1" applyFill="1" applyBorder="1" applyAlignment="1"/>
    <xf numFmtId="0" fontId="21" fillId="10" borderId="45" xfId="0" applyNumberFormat="1" applyFont="1" applyFill="1" applyBorder="1" applyAlignment="1"/>
    <xf numFmtId="0" fontId="21" fillId="10" borderId="63" xfId="2" applyNumberFormat="1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0" fontId="3" fillId="23" borderId="15" xfId="0" applyFont="1" applyFill="1" applyBorder="1" applyAlignment="1">
      <alignment horizontal="left" vertical="center"/>
    </xf>
    <xf numFmtId="0" fontId="3" fillId="23" borderId="6" xfId="0" applyFont="1" applyFill="1" applyBorder="1" applyAlignment="1">
      <alignment horizontal="left" vertical="center"/>
    </xf>
    <xf numFmtId="0" fontId="3" fillId="23" borderId="4" xfId="0" applyFont="1" applyFill="1" applyBorder="1" applyAlignment="1">
      <alignment horizontal="left"/>
    </xf>
    <xf numFmtId="0" fontId="4" fillId="26" borderId="5" xfId="0" applyFont="1" applyFill="1" applyBorder="1" applyAlignment="1">
      <alignment horizontal="left"/>
    </xf>
    <xf numFmtId="0" fontId="3" fillId="23" borderId="4" xfId="0" applyFont="1" applyFill="1" applyBorder="1" applyAlignment="1">
      <alignment horizontal="left" vertical="center"/>
    </xf>
    <xf numFmtId="0" fontId="3" fillId="23" borderId="16" xfId="0" applyFont="1" applyFill="1" applyBorder="1" applyAlignment="1">
      <alignment horizontal="left" vertical="center"/>
    </xf>
    <xf numFmtId="0" fontId="20" fillId="12" borderId="4" xfId="0" applyFont="1" applyFill="1" applyBorder="1" applyAlignment="1">
      <alignment horizontal="right" vertical="center"/>
    </xf>
    <xf numFmtId="0" fontId="20" fillId="12" borderId="16" xfId="0" applyFont="1" applyFill="1" applyBorder="1" applyAlignment="1">
      <alignment horizontal="right" vertical="center"/>
    </xf>
    <xf numFmtId="0" fontId="1" fillId="19" borderId="4" xfId="4" applyFont="1" applyFill="1" applyBorder="1" applyAlignment="1">
      <alignment horizontal="center" vertical="center"/>
    </xf>
    <xf numFmtId="0" fontId="1" fillId="19" borderId="16" xfId="4" applyFont="1" applyFill="1" applyBorder="1" applyAlignment="1">
      <alignment horizontal="center" vertical="center"/>
    </xf>
    <xf numFmtId="0" fontId="1" fillId="19" borderId="4" xfId="4" applyFont="1" applyFill="1" applyBorder="1" applyAlignment="1">
      <alignment vertical="center"/>
    </xf>
    <xf numFmtId="0" fontId="1" fillId="19" borderId="16" xfId="4" applyFont="1" applyFill="1" applyBorder="1" applyAlignment="1">
      <alignment vertical="center"/>
    </xf>
    <xf numFmtId="0" fontId="3" fillId="2" borderId="2" xfId="4" applyFont="1" applyFill="1" applyAlignment="1">
      <alignment horizontal="left"/>
    </xf>
    <xf numFmtId="0" fontId="32" fillId="0" borderId="2" xfId="4" applyFont="1"/>
    <xf numFmtId="0" fontId="3" fillId="27" borderId="50" xfId="4" applyFont="1" applyFill="1" applyBorder="1" applyAlignment="1">
      <alignment horizontal="center" vertical="center"/>
    </xf>
    <xf numFmtId="0" fontId="3" fillId="27" borderId="2" xfId="4" applyFont="1" applyFill="1" applyAlignment="1">
      <alignment horizontal="center" vertical="center"/>
    </xf>
    <xf numFmtId="0" fontId="3" fillId="27" borderId="27" xfId="4" applyFont="1" applyFill="1" applyBorder="1" applyAlignment="1">
      <alignment horizontal="center" vertical="center"/>
    </xf>
    <xf numFmtId="0" fontId="39" fillId="26" borderId="29" xfId="4" applyFont="1" applyFill="1" applyBorder="1"/>
    <xf numFmtId="0" fontId="14" fillId="20" borderId="33" xfId="4" applyFont="1" applyFill="1" applyBorder="1" applyAlignment="1">
      <alignment horizontal="left"/>
    </xf>
    <xf numFmtId="0" fontId="14" fillId="20" borderId="51" xfId="4" applyFont="1" applyFill="1" applyBorder="1" applyAlignment="1">
      <alignment horizontal="left"/>
    </xf>
    <xf numFmtId="0" fontId="15" fillId="21" borderId="52" xfId="4" applyFont="1" applyFill="1" applyBorder="1" applyAlignment="1">
      <alignment horizontal="left"/>
    </xf>
    <xf numFmtId="0" fontId="15" fillId="21" borderId="53" xfId="4" applyFont="1" applyFill="1" applyBorder="1" applyAlignment="1">
      <alignment horizontal="left"/>
    </xf>
    <xf numFmtId="0" fontId="15" fillId="21" borderId="33" xfId="4" applyFont="1" applyFill="1" applyBorder="1" applyAlignment="1">
      <alignment horizontal="left"/>
    </xf>
    <xf numFmtId="0" fontId="15" fillId="21" borderId="51" xfId="4" applyFont="1" applyFill="1" applyBorder="1" applyAlignment="1">
      <alignment horizontal="left"/>
    </xf>
    <xf numFmtId="0" fontId="3" fillId="27" borderId="4" xfId="4" applyFont="1" applyFill="1" applyBorder="1" applyAlignment="1">
      <alignment horizontal="center" vertical="center"/>
    </xf>
    <xf numFmtId="0" fontId="3" fillId="27" borderId="16" xfId="4" applyFont="1" applyFill="1" applyBorder="1" applyAlignment="1">
      <alignment horizontal="center" vertical="center"/>
    </xf>
    <xf numFmtId="0" fontId="3" fillId="27" borderId="4" xfId="4" applyFont="1" applyFill="1" applyBorder="1" applyAlignment="1">
      <alignment vertical="center"/>
    </xf>
    <xf numFmtId="0" fontId="3" fillId="27" borderId="16" xfId="4" applyFont="1" applyFill="1" applyBorder="1" applyAlignment="1">
      <alignment vertical="center"/>
    </xf>
    <xf numFmtId="0" fontId="3" fillId="3" borderId="55" xfId="4" applyFont="1" applyFill="1" applyBorder="1" applyAlignment="1">
      <alignment horizontal="center" vertical="center"/>
    </xf>
    <xf numFmtId="0" fontId="32" fillId="0" borderId="56" xfId="4" applyFont="1" applyBorder="1"/>
    <xf numFmtId="0" fontId="32" fillId="0" borderId="57" xfId="4" applyFont="1" applyBorder="1"/>
    <xf numFmtId="0" fontId="3" fillId="2" borderId="2" xfId="4" applyFont="1" applyFill="1" applyAlignment="1">
      <alignment horizontal="left" vertical="center"/>
    </xf>
    <xf numFmtId="0" fontId="3" fillId="23" borderId="30" xfId="0" applyFont="1" applyFill="1" applyBorder="1" applyAlignment="1">
      <alignment horizontal="center" vertical="center"/>
    </xf>
    <xf numFmtId="0" fontId="3" fillId="23" borderId="31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3" fillId="23" borderId="28" xfId="0" applyFont="1" applyFill="1" applyBorder="1" applyAlignment="1">
      <alignment horizontal="center" vertical="center"/>
    </xf>
    <xf numFmtId="0" fontId="3" fillId="23" borderId="2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23" borderId="32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/>
    </xf>
    <xf numFmtId="0" fontId="3" fillId="23" borderId="25" xfId="0" applyFont="1" applyFill="1" applyBorder="1" applyAlignment="1">
      <alignment horizontal="center"/>
    </xf>
    <xf numFmtId="0" fontId="3" fillId="23" borderId="4" xfId="0" applyFont="1" applyFill="1" applyBorder="1" applyAlignment="1">
      <alignment horizontal="center" vertical="center"/>
    </xf>
    <xf numFmtId="0" fontId="3" fillId="23" borderId="16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horizontal="center" vertical="center"/>
    </xf>
    <xf numFmtId="0" fontId="3" fillId="26" borderId="16" xfId="0" applyFont="1" applyFill="1" applyBorder="1" applyAlignment="1">
      <alignment horizontal="center" vertical="center"/>
    </xf>
  </cellXfs>
  <cellStyles count="6">
    <cellStyle name="Komma" xfId="1" builtinId="3"/>
    <cellStyle name="Komma 2" xfId="3" xr:uid="{80EB8D95-F23B-4044-9F81-86DC9FBFE33F}"/>
    <cellStyle name="Procent" xfId="2" builtinId="5"/>
    <cellStyle name="Procent 2" xfId="5" xr:uid="{E23DD63D-6924-4C42-B94A-99B5E28FAEAA}"/>
    <cellStyle name="Standaard" xfId="0" builtinId="0"/>
    <cellStyle name="Standaard 3" xfId="4" xr:uid="{432DB10B-EA22-504B-B5CB-C7166C3194BC}"/>
  </cellStyles>
  <dxfs count="325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colors>
    <mruColors>
      <color rgb="FF1C5597"/>
      <color rgb="FF6BBC93"/>
      <color rgb="FF6ABD92"/>
      <color rgb="FF7F7F7F"/>
      <color rgb="FF61B57D"/>
      <color rgb="FF224F92"/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nl-NL" sz="1800" b="1">
                <a:solidFill>
                  <a:srgbClr val="6BBC93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Figuur M2.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CO</a:t>
            </a:r>
            <a:r>
              <a:rPr lang="nl-NL" sz="1800" b="1" baseline="-2500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-footprint</a:t>
            </a:r>
            <a:r>
              <a:rPr lang="nl-NL" sz="1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individuele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afdelingen/partijen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DB6C-4115-9B70-F4756F941F0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DB6C-4115-9B70-F4756F941F0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DB6C-4115-9B70-F4756F941F0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DB6C-4115-9B70-F4756F941F06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DB6C-4115-9B70-F4756F941F0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DB6C-4115-9B70-F4756F941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B6C-4115-9B70-F4756F941F06}"/>
              </c:ext>
            </c:extLst>
          </c:dPt>
          <c:dLbls>
            <c:dLbl>
              <c:idx val="4"/>
              <c:layout>
                <c:manualLayout>
                  <c:x val="2.3605783416936715E-3"/>
                  <c:y val="-5.2830188679245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C-4115-9B70-F4756F941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Footprints!$I$52:$I$57</c:f>
              <c:strCache>
                <c:ptCount val="6"/>
                <c:pt idx="0">
                  <c:v>Gasverbruik</c:v>
                </c:pt>
                <c:pt idx="1">
                  <c:v>Brandstoffen</c:v>
                </c:pt>
                <c:pt idx="2">
                  <c:v>Elektriciteitsverbruik</c:v>
                </c:pt>
                <c:pt idx="3">
                  <c:v>Zakelijk vervoer</c:v>
                </c:pt>
                <c:pt idx="4">
                  <c:v>Warmte</c:v>
                </c:pt>
                <c:pt idx="5">
                  <c:v>Vliegreizen</c:v>
                </c:pt>
              </c:strCache>
            </c:strRef>
          </c:cat>
          <c:val>
            <c:numRef>
              <c:f>Footprints!$J$52:$J$57</c:f>
              <c:numCache>
                <c:formatCode>_ * #,##0.00_ ;_ * \-#,##0.00_ ;_ * "-"??_ ;_ @_ </c:formatCode>
                <c:ptCount val="6"/>
                <c:pt idx="0">
                  <c:v>1441.11366</c:v>
                </c:pt>
                <c:pt idx="1">
                  <c:v>0</c:v>
                </c:pt>
                <c:pt idx="2">
                  <c:v>21898.162109999997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B6C-4115-9B70-F4756F941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lvl="0">
            <a:defRPr sz="1100" b="0" i="0">
              <a:solidFill>
                <a:srgbClr val="595959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spPr>
    <a:solidFill>
      <a:schemeClr val="lt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>
                <a:solidFill>
                  <a:srgbClr val="6BBC93"/>
                </a:solidFill>
              </a:rPr>
              <a:t>Figuur M1</a:t>
            </a:r>
            <a:r>
              <a:rPr lang="nl-NL">
                <a:solidFill>
                  <a:srgbClr val="61B57D"/>
                </a:solidFill>
              </a:rPr>
              <a:t>. </a:t>
            </a:r>
            <a:r>
              <a:rPr lang="nl-NL">
                <a:solidFill>
                  <a:srgbClr val="7F7F7F"/>
                </a:solidFill>
              </a:rPr>
              <a:t>CO</a:t>
            </a:r>
            <a:r>
              <a:rPr lang="nl-NL" baseline="-25000">
                <a:solidFill>
                  <a:srgbClr val="7F7F7F"/>
                </a:solidFill>
              </a:rPr>
              <a:t>2</a:t>
            </a:r>
            <a:r>
              <a:rPr lang="nl-NL">
                <a:solidFill>
                  <a:srgbClr val="7F7F7F"/>
                </a:solidFill>
              </a:rPr>
              <a:t>-footprint Delfland incl.</a:t>
            </a:r>
            <a:r>
              <a:rPr lang="nl-NL" baseline="0">
                <a:solidFill>
                  <a:srgbClr val="7F7F7F"/>
                </a:solidFill>
              </a:rPr>
              <a:t> verbonden partijen</a:t>
            </a:r>
            <a:endParaRPr lang="nl-NL">
              <a:solidFill>
                <a:srgbClr val="7F7F7F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1B57D"/>
              </a:solidFill>
            </c:spPr>
            <c:extLst>
              <c:ext xmlns:c16="http://schemas.microsoft.com/office/drawing/2014/chart" uri="{C3380CC4-5D6E-409C-BE32-E72D297353CC}">
                <c16:uniqueId val="{00000001-7B54-48C6-BD88-1DE85D0377A8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B54-48C6-BD88-1DE85D0377A8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B54-48C6-BD88-1DE85D0377A8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7B54-48C6-BD88-1DE85D0377A8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7B54-48C6-BD88-1DE85D0377A8}"/>
              </c:ext>
            </c:extLst>
          </c:dPt>
          <c:dPt>
            <c:idx val="5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B54-48C6-BD88-1DE85D0377A8}"/>
              </c:ext>
            </c:extLst>
          </c:dPt>
          <c:dPt>
            <c:idx val="6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B54-48C6-BD88-1DE85D0377A8}"/>
              </c:ext>
            </c:extLst>
          </c:dPt>
          <c:dLbls>
            <c:dLbl>
              <c:idx val="3"/>
              <c:layout>
                <c:manualLayout>
                  <c:x val="1.3321748656784378E-3"/>
                  <c:y val="-3.4267913473068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4-48C6-BD88-1DE85D0377A8}"/>
                </c:ext>
              </c:extLst>
            </c:dLbl>
            <c:dLbl>
              <c:idx val="4"/>
              <c:layout>
                <c:manualLayout>
                  <c:x val="7.9930491940708708E-3"/>
                  <c:y val="3.71235729291578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4-48C6-BD88-1DE85D0377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54-48C6-BD88-1DE85D037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Footprints!$B$52:$B$57</c:f>
              <c:strCache>
                <c:ptCount val="6"/>
                <c:pt idx="0">
                  <c:v>Gasverbruik</c:v>
                </c:pt>
                <c:pt idx="1">
                  <c:v>Brandstoffen</c:v>
                </c:pt>
                <c:pt idx="2">
                  <c:v>Elektriciteitsverbruik</c:v>
                </c:pt>
                <c:pt idx="3">
                  <c:v>Zakelijk vervoer</c:v>
                </c:pt>
                <c:pt idx="4">
                  <c:v>Vliegreizen</c:v>
                </c:pt>
                <c:pt idx="5">
                  <c:v>Warmte</c:v>
                </c:pt>
              </c:strCache>
            </c:strRef>
          </c:cat>
          <c:val>
            <c:numRef>
              <c:f>Footprints!$C$52:$C$57</c:f>
              <c:numCache>
                <c:formatCode>_ * #,##0.00_ ;_ * \-#,##0.00_ ;_ * "-"??_ ;_ @_ </c:formatCode>
                <c:ptCount val="6"/>
                <c:pt idx="0">
                  <c:v>1747.0650172500004</c:v>
                </c:pt>
                <c:pt idx="1">
                  <c:v>226.79137822600001</c:v>
                </c:pt>
                <c:pt idx="2">
                  <c:v>21958.379822268998</c:v>
                </c:pt>
                <c:pt idx="3">
                  <c:v>472.76814083789475</c:v>
                </c:pt>
                <c:pt idx="4">
                  <c:v>29.423044000000001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54-48C6-BD88-1DE85D03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nl-NL"/>
        </a:p>
      </c:txPr>
    </c:legend>
    <c:plotVisOnly val="1"/>
    <c:dispBlanksAs val="zero"/>
    <c:showDLblsOverMax val="1"/>
  </c:chart>
  <c:spPr>
    <a:solidFill>
      <a:schemeClr val="lt1"/>
    </a:solidFill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 sz="1800" b="1" i="0" baseline="0">
                <a:solidFill>
                  <a:srgbClr val="6ABD92"/>
                </a:solidFill>
                <a:effectLst/>
              </a:rPr>
              <a:t>Figuur M3. </a:t>
            </a:r>
            <a:r>
              <a:rPr lang="nl-NL" sz="1800" b="1" i="0" baseline="0">
                <a:effectLst/>
              </a:rPr>
              <a:t>CO</a:t>
            </a:r>
            <a:r>
              <a:rPr lang="nl-NL" sz="1800" b="1" i="0" baseline="-25000">
                <a:effectLst/>
              </a:rPr>
              <a:t>2</a:t>
            </a:r>
            <a:r>
              <a:rPr lang="nl-NL" sz="1800" b="1" i="0" baseline="0">
                <a:effectLst/>
              </a:rPr>
              <a:t>-footprint Delfland</a:t>
            </a:r>
            <a:endParaRPr lang="nl-N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N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F-404F-8CAA-293A5CD55D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F-404F-8CAA-293A5CD55D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F-404F-8CAA-293A5CD55D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F67-3243-AB2D-C6E9237334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F-404F-8CAA-293A5CD55D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EF-404F-8CAA-293A5CD55D0F}"/>
              </c:ext>
            </c:extLst>
          </c:dPt>
          <c:dLbls>
            <c:dLbl>
              <c:idx val="3"/>
              <c:layout>
                <c:manualLayout>
                  <c:x val="-8.4805653710247342E-3"/>
                  <c:y val="5.0251256281407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7-3243-AB2D-C6E923733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Footprints!$P$52:$P$57</c:f>
              <c:strCache>
                <c:ptCount val="6"/>
                <c:pt idx="0">
                  <c:v>Gasverbruik</c:v>
                </c:pt>
                <c:pt idx="1">
                  <c:v>Brandstoffen</c:v>
                </c:pt>
                <c:pt idx="2">
                  <c:v>Elektriciteitsverbruik</c:v>
                </c:pt>
                <c:pt idx="3">
                  <c:v>Zakelijk vervoer</c:v>
                </c:pt>
                <c:pt idx="4">
                  <c:v>Warmte</c:v>
                </c:pt>
                <c:pt idx="5">
                  <c:v>Vliegreizen</c:v>
                </c:pt>
              </c:strCache>
            </c:strRef>
          </c:cat>
          <c:val>
            <c:numRef>
              <c:f>Footprints!$Q$52:$Q$57</c:f>
              <c:numCache>
                <c:formatCode>_ * #,##0.00_ ;_ * \-#,##0.00_ ;_ * "-"??_ ;_ @_ </c:formatCode>
                <c:ptCount val="6"/>
                <c:pt idx="0">
                  <c:v>1607.1539400000001</c:v>
                </c:pt>
                <c:pt idx="1">
                  <c:v>193.63179700000001</c:v>
                </c:pt>
                <c:pt idx="2">
                  <c:v>21898.254916999998</c:v>
                </c:pt>
                <c:pt idx="3">
                  <c:v>466.12148000000002</c:v>
                </c:pt>
                <c:pt idx="4">
                  <c:v>0</c:v>
                </c:pt>
                <c:pt idx="5">
                  <c:v>29.423044000000001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7-3243-AB2D-C6E9237334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'Energieverbruik in GJ'!$B$61</c:f>
          <c:strCache>
            <c:ptCount val="1"/>
            <c:pt idx="0">
              <c:v>#VERW!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'Energieverbruik in GJ'!$B$46</c:f>
              <c:strCache>
                <c:ptCount val="1"/>
                <c:pt idx="0">
                  <c:v>Aardgasverbruik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'Energieverbruik in GJ'!$C$46:$F$46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DD2-F74E-9691-0CB8324AA92F}"/>
            </c:ext>
          </c:extLst>
        </c:ser>
        <c:ser>
          <c:idx val="1"/>
          <c:order val="1"/>
          <c:tx>
            <c:strRef>
              <c:f>'Energieverbruik in GJ'!$B$47</c:f>
              <c:strCache>
                <c:ptCount val="1"/>
                <c:pt idx="0">
                  <c:v>Brandstofverbruik bedrijfsmiddelen - 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'Energieverbruik in GJ'!$C$47:$F$47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DD2-F74E-9691-0CB8324AA92F}"/>
            </c:ext>
          </c:extLst>
        </c:ser>
        <c:ser>
          <c:idx val="2"/>
          <c:order val="2"/>
          <c:tx>
            <c:strRef>
              <c:f>'Energieverbruik in GJ'!$B$48</c:f>
              <c:strCache>
                <c:ptCount val="1"/>
                <c:pt idx="0">
                  <c:v>Brandstofverbruik wagenpark - diesel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'Energieverbruik in GJ'!$C$48:$F$48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DD2-F74E-9691-0CB8324AA92F}"/>
            </c:ext>
          </c:extLst>
        </c:ser>
        <c:ser>
          <c:idx val="3"/>
          <c:order val="3"/>
          <c:tx>
            <c:strRef>
              <c:f>'Energieverbruik in GJ'!$B$49</c:f>
              <c:strCache>
                <c:ptCount val="1"/>
                <c:pt idx="0">
                  <c:v>Brandstofverbruik wagenpark - benzine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'Energieverbruik in GJ'!$C$49:$F$49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DD2-F74E-9691-0CB8324AA92F}"/>
            </c:ext>
          </c:extLst>
        </c:ser>
        <c:ser>
          <c:idx val="4"/>
          <c:order val="4"/>
          <c:tx>
            <c:strRef>
              <c:f>'Energieverbruik in GJ'!$B$50</c:f>
              <c:strCache>
                <c:ptCount val="1"/>
                <c:pt idx="0">
                  <c:v>Brandstofverbruik wagenpark - HVO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'Energieverbruik in GJ'!$C$50:$F$50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DD2-F74E-9691-0CB8324AA92F}"/>
            </c:ext>
          </c:extLst>
        </c:ser>
        <c:ser>
          <c:idx val="5"/>
          <c:order val="5"/>
          <c:tx>
            <c:strRef>
              <c:f>'Energieverbruik in GJ'!$B$51</c:f>
              <c:strCache>
                <c:ptCount val="1"/>
                <c:pt idx="0">
                  <c:v>Brandstofverbruik wagenpark - LPG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'Energieverbruik in GJ'!$C$51:$F$51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DD2-F74E-9691-0CB8324AA92F}"/>
            </c:ext>
          </c:extLst>
        </c:ser>
        <c:ser>
          <c:idx val="6"/>
          <c:order val="6"/>
          <c:tx>
            <c:strRef>
              <c:f>'Energieverbruik in GJ'!$B$52</c:f>
              <c:strCache>
                <c:ptCount val="1"/>
                <c:pt idx="0">
                  <c:v>Brandstofverbruik wagenpark - CNG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GJ'!$C$52:$F$52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DD2-F74E-9691-0CB8324AA92F}"/>
            </c:ext>
          </c:extLst>
        </c:ser>
        <c:ser>
          <c:idx val="7"/>
          <c:order val="7"/>
          <c:tx>
            <c:strRef>
              <c:f>'Energieverbruik in GJ'!$B$53</c:f>
              <c:strCache>
                <c:ptCount val="1"/>
                <c:pt idx="0">
                  <c:v>Elektriciteitsverbruik - grijze stroom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GJ'!$C$53:$F$53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DD2-F74E-9691-0CB8324AA92F}"/>
            </c:ext>
          </c:extLst>
        </c:ser>
        <c:ser>
          <c:idx val="8"/>
          <c:order val="8"/>
          <c:tx>
            <c:strRef>
              <c:f>'Energieverbruik in GJ'!$B$54</c:f>
              <c:strCache>
                <c:ptCount val="1"/>
                <c:pt idx="0">
                  <c:v>Elektriciteitsverbruik - groene stroom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GJ'!$C$54:$F$54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DD2-F74E-9691-0CB8324AA92F}"/>
            </c:ext>
          </c:extLst>
        </c:ser>
        <c:ser>
          <c:idx val="9"/>
          <c:order val="9"/>
          <c:tx>
            <c:strRef>
              <c:f>'Energieverbruik in GJ'!$B$55</c:f>
              <c:strCache>
                <c:ptCount val="1"/>
                <c:pt idx="0">
                  <c:v>Elektriciteitsverbruik - biomassa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GJ'!$C$55:$F$55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DD2-F74E-9691-0CB8324AA92F}"/>
            </c:ext>
          </c:extLst>
        </c:ser>
        <c:ser>
          <c:idx val="10"/>
          <c:order val="10"/>
          <c:tx>
            <c:strRef>
              <c:f>'Energieverbruik in GJ'!$B$56</c:f>
              <c:strCache>
                <c:ptCount val="1"/>
                <c:pt idx="0">
                  <c:v>Elektriciteitsverbruik - wagens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GJ'!$C$56:$F$56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DDD2-F74E-9691-0CB8324AA92F}"/>
            </c:ext>
          </c:extLst>
        </c:ser>
        <c:ser>
          <c:idx val="11"/>
          <c:order val="11"/>
          <c:tx>
            <c:strRef>
              <c:f>'Energieverbruik in GJ'!$B$57</c:f>
              <c:strCache>
                <c:ptCount val="1"/>
                <c:pt idx="0">
                  <c:v>Warmtelevering - STEG centrale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GJ'!$C$57:$F$57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GJ'!$C$44:$F$44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DDD2-F74E-9691-0CB8324A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974848"/>
        <c:axId val="966977344"/>
      </c:barChart>
      <c:catAx>
        <c:axId val="966974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977344"/>
        <c:crosses val="autoZero"/>
        <c:auto val="1"/>
        <c:lblAlgn val="ctr"/>
        <c:lblOffset val="100"/>
        <c:noMultiLvlLbl val="0"/>
      </c:catAx>
      <c:valAx>
        <c:axId val="9669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Energieverbruik (GJ)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97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'Energieverbruik in GJ'!$I$61</c:f>
          <c:strCache>
            <c:ptCount val="1"/>
            <c:pt idx="0">
              <c:v>Figuur E2. Voortgang Energieverbruik RWZI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'Energieverbruik in GJ'!$I$46</c:f>
              <c:strCache>
                <c:ptCount val="1"/>
                <c:pt idx="0">
                  <c:v>Aardgasverbruik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'Energieverbruik in GJ'!$J$46:$M$46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9D5-B946-8AFB-E16C8A66121B}"/>
            </c:ext>
          </c:extLst>
        </c:ser>
        <c:ser>
          <c:idx val="1"/>
          <c:order val="1"/>
          <c:tx>
            <c:strRef>
              <c:f>'Energieverbruik in GJ'!$I$47</c:f>
              <c:strCache>
                <c:ptCount val="1"/>
                <c:pt idx="0">
                  <c:v>Brandstofverbruik bedrijfsmiddelen - 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'Energieverbruik in GJ'!$J$47:$M$47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9D5-B946-8AFB-E16C8A66121B}"/>
            </c:ext>
          </c:extLst>
        </c:ser>
        <c:ser>
          <c:idx val="2"/>
          <c:order val="2"/>
          <c:tx>
            <c:strRef>
              <c:f>'Energieverbruik in GJ'!$I$48</c:f>
              <c:strCache>
                <c:ptCount val="1"/>
                <c:pt idx="0">
                  <c:v>Brandstofverbruik wagenpark - diesel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'Energieverbruik in GJ'!$J$48:$M$48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9D5-B946-8AFB-E16C8A66121B}"/>
            </c:ext>
          </c:extLst>
        </c:ser>
        <c:ser>
          <c:idx val="3"/>
          <c:order val="3"/>
          <c:tx>
            <c:strRef>
              <c:f>'Energieverbruik in GJ'!$I$49</c:f>
              <c:strCache>
                <c:ptCount val="1"/>
                <c:pt idx="0">
                  <c:v>Brandstofverbruik wagenpark - benzine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'Energieverbruik in GJ'!$J$49:$M$49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9D5-B946-8AFB-E16C8A66121B}"/>
            </c:ext>
          </c:extLst>
        </c:ser>
        <c:ser>
          <c:idx val="4"/>
          <c:order val="4"/>
          <c:tx>
            <c:strRef>
              <c:f>'Energieverbruik in GJ'!$I$50</c:f>
              <c:strCache>
                <c:ptCount val="1"/>
                <c:pt idx="0">
                  <c:v>Brandstofverbruik wagenpark - HVO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'Energieverbruik in GJ'!$J$50:$M$50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9D5-B946-8AFB-E16C8A66121B}"/>
            </c:ext>
          </c:extLst>
        </c:ser>
        <c:ser>
          <c:idx val="5"/>
          <c:order val="5"/>
          <c:tx>
            <c:strRef>
              <c:f>'Energieverbruik in GJ'!$I$51</c:f>
              <c:strCache>
                <c:ptCount val="1"/>
                <c:pt idx="0">
                  <c:v>Brandstofverbruik wagenpark - LPG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'Energieverbruik in GJ'!$J$51:$M$51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9D5-B946-8AFB-E16C8A66121B}"/>
            </c:ext>
          </c:extLst>
        </c:ser>
        <c:ser>
          <c:idx val="6"/>
          <c:order val="6"/>
          <c:tx>
            <c:strRef>
              <c:f>'Energieverbruik in GJ'!$I$52</c:f>
              <c:strCache>
                <c:ptCount val="1"/>
                <c:pt idx="0">
                  <c:v>Brandstofverbruik wagenpark - CNG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GJ'!$J$52:$M$52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69D5-B946-8AFB-E16C8A66121B}"/>
            </c:ext>
          </c:extLst>
        </c:ser>
        <c:ser>
          <c:idx val="7"/>
          <c:order val="7"/>
          <c:tx>
            <c:strRef>
              <c:f>'Energieverbruik in GJ'!$I$53</c:f>
              <c:strCache>
                <c:ptCount val="1"/>
                <c:pt idx="0">
                  <c:v>Elektriciteitsverbruik - grijze stroom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GJ'!$J$53:$M$53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69D5-B946-8AFB-E16C8A66121B}"/>
            </c:ext>
          </c:extLst>
        </c:ser>
        <c:ser>
          <c:idx val="8"/>
          <c:order val="8"/>
          <c:tx>
            <c:strRef>
              <c:f>'Energieverbruik in GJ'!$I$54</c:f>
              <c:strCache>
                <c:ptCount val="1"/>
                <c:pt idx="0">
                  <c:v>Elektriciteitsverbruik - groene stroom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GJ'!$J$54:$M$54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69D5-B946-8AFB-E16C8A66121B}"/>
            </c:ext>
          </c:extLst>
        </c:ser>
        <c:ser>
          <c:idx val="9"/>
          <c:order val="9"/>
          <c:tx>
            <c:strRef>
              <c:f>'Energieverbruik in GJ'!$I$55</c:f>
              <c:strCache>
                <c:ptCount val="1"/>
                <c:pt idx="0">
                  <c:v>Elektriciteitsverbruik - biomassa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GJ'!$J$55:$M$55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69D5-B946-8AFB-E16C8A66121B}"/>
            </c:ext>
          </c:extLst>
        </c:ser>
        <c:ser>
          <c:idx val="10"/>
          <c:order val="10"/>
          <c:tx>
            <c:strRef>
              <c:f>'Energieverbruik in GJ'!$I$56</c:f>
              <c:strCache>
                <c:ptCount val="1"/>
                <c:pt idx="0">
                  <c:v>Elektriciteitsverbruik - wagens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GJ'!$J$56:$M$56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69D5-B946-8AFB-E16C8A66121B}"/>
            </c:ext>
          </c:extLst>
        </c:ser>
        <c:ser>
          <c:idx val="11"/>
          <c:order val="11"/>
          <c:tx>
            <c:strRef>
              <c:f>'Energieverbruik in GJ'!$I$57</c:f>
              <c:strCache>
                <c:ptCount val="1"/>
                <c:pt idx="0">
                  <c:v>Warmtelevering - STEG centrale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'Energieverbruik in GJ'!$J$57:$M$57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'Energieverbruik in GJ'!$J$44:$M$44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69D5-B946-8AFB-E16C8A66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974848"/>
        <c:axId val="966977344"/>
      </c:barChart>
      <c:catAx>
        <c:axId val="966974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977344"/>
        <c:crosses val="autoZero"/>
        <c:auto val="1"/>
        <c:lblAlgn val="ctr"/>
        <c:lblOffset val="100"/>
        <c:noMultiLvlLbl val="0"/>
      </c:catAx>
      <c:valAx>
        <c:axId val="96697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Energieverbruik (GJ)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6697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'Energieverbruik in GJ'!$E$6</c:f>
          <c:strCache>
            <c:ptCount val="1"/>
          </c:strCache>
        </c:strRef>
      </c:tx>
      <c:overlay val="0"/>
    </c:title>
    <c:autoTitleDeleted val="0"/>
    <c:plotArea>
      <c:layout>
        <c:manualLayout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1B57D"/>
              </a:solidFill>
            </c:spPr>
            <c:extLst>
              <c:ext xmlns:c16="http://schemas.microsoft.com/office/drawing/2014/chart" uri="{C3380CC4-5D6E-409C-BE32-E72D297353CC}">
                <c16:uniqueId val="{00000001-7195-4447-8959-013DCECF26AE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7195-4447-8959-013DCECF26AE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195-4447-8959-013DCECF26AE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7195-4447-8959-013DCECF26AE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7195-4447-8959-013DCECF26AE}"/>
              </c:ext>
            </c:extLst>
          </c:dPt>
          <c:dPt>
            <c:idx val="5"/>
            <c:bubble3D val="0"/>
            <c:spPr>
              <a:solidFill>
                <a:srgbClr val="95B3D7"/>
              </a:solidFill>
            </c:spPr>
            <c:extLst>
              <c:ext xmlns:c16="http://schemas.microsoft.com/office/drawing/2014/chart" uri="{C3380CC4-5D6E-409C-BE32-E72D297353CC}">
                <c16:uniqueId val="{0000000B-7195-4447-8959-013DCECF26AE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7195-4447-8959-013DCECF26AE}"/>
              </c:ext>
            </c:extLst>
          </c:dPt>
          <c:dLbls>
            <c:dLbl>
              <c:idx val="1"/>
              <c:layout>
                <c:manualLayout>
                  <c:x val="-1.9735934235930348E-2"/>
                  <c:y val="1.1273206605921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5-4447-8959-013DCECF26AE}"/>
                </c:ext>
              </c:extLst>
            </c:dLbl>
            <c:dLbl>
              <c:idx val="2"/>
              <c:layout>
                <c:manualLayout>
                  <c:x val="3.0261765828426459E-2"/>
                  <c:y val="-2.63041487471502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95-4447-8959-013DCECF26AE}"/>
                </c:ext>
              </c:extLst>
            </c:dLbl>
            <c:dLbl>
              <c:idx val="3"/>
              <c:layout>
                <c:manualLayout>
                  <c:x val="-6.5786447453100999E-3"/>
                  <c:y val="-6.012376856491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95-4447-8959-013DCECF26AE}"/>
                </c:ext>
              </c:extLst>
            </c:dLbl>
            <c:dLbl>
              <c:idx val="4"/>
              <c:layout>
                <c:manualLayout>
                  <c:x val="3.9471868471860601E-3"/>
                  <c:y val="4.50928264236860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95-4447-8959-013DCECF26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'Energieverbruik in GJ'!$I$28:$I$35</c:f>
              <c:strCache>
                <c:ptCount val="8"/>
                <c:pt idx="0">
                  <c:v>Gasverbruik</c:v>
                </c:pt>
                <c:pt idx="1">
                  <c:v>Brandstofverbruik - diesel</c:v>
                </c:pt>
                <c:pt idx="2">
                  <c:v>Brandstofverbruik - benzine</c:v>
                </c:pt>
                <c:pt idx="3">
                  <c:v>Biogas gespuid</c:v>
                </c:pt>
                <c:pt idx="4">
                  <c:v>Elektriciteitsverbruik - grijze stroom</c:v>
                </c:pt>
                <c:pt idx="5">
                  <c:v>Elektriciteitsverbruik - groene stroom</c:v>
                </c:pt>
                <c:pt idx="6">
                  <c:v>Elektriciteitsverbruik - wagens</c:v>
                </c:pt>
                <c:pt idx="7">
                  <c:v>Warmte</c:v>
                </c:pt>
              </c:strCache>
            </c:strRef>
          </c:cat>
          <c:val>
            <c:numRef>
              <c:f>'Energieverbruik in GJ'!$J$28:$J$35</c:f>
              <c:numCache>
                <c:formatCode>_ * #,##0.00_ ;_ * \-#,##0.00_ ;_ * "-"??_ ;_ @_ </c:formatCode>
                <c:ptCount val="8"/>
                <c:pt idx="0">
                  <c:v>24132.935099999999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121469.004</c:v>
                </c:pt>
                <c:pt idx="5">
                  <c:v>42095.5524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95-4447-8959-013DCECF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nl-NL"/>
        </a:p>
      </c:txPr>
    </c:legend>
    <c:plotVisOnly val="1"/>
    <c:dispBlanksAs val="zero"/>
    <c:showDLblsOverMax val="1"/>
  </c:chart>
  <c:spPr>
    <a:solidFill>
      <a:schemeClr val="lt1"/>
    </a:solidFill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'Energieverbruik in GJ'!$E$6</c:f>
          <c:strCache>
            <c:ptCount val="1"/>
          </c:strCache>
        </c:strRef>
      </c:tx>
      <c:overlay val="0"/>
    </c:title>
    <c:autoTitleDeleted val="0"/>
    <c:plotArea>
      <c:layout>
        <c:manualLayout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1B57D"/>
              </a:solidFill>
            </c:spPr>
            <c:extLst>
              <c:ext xmlns:c16="http://schemas.microsoft.com/office/drawing/2014/chart" uri="{C3380CC4-5D6E-409C-BE32-E72D297353CC}">
                <c16:uniqueId val="{00000001-5FE4-E343-B4B4-0825B245308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5FE4-E343-B4B4-0825B245308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5FE4-E343-B4B4-0825B245308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5FE4-E343-B4B4-0825B2453083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5FE4-E343-B4B4-0825B2453083}"/>
              </c:ext>
            </c:extLst>
          </c:dPt>
          <c:dPt>
            <c:idx val="5"/>
            <c:bubble3D val="0"/>
            <c:spPr>
              <a:solidFill>
                <a:srgbClr val="95B3D7"/>
              </a:solidFill>
            </c:spPr>
            <c:extLst>
              <c:ext xmlns:c16="http://schemas.microsoft.com/office/drawing/2014/chart" uri="{C3380CC4-5D6E-409C-BE32-E72D297353CC}">
                <c16:uniqueId val="{0000000B-5FE4-E343-B4B4-0825B2453083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D-5FE4-E343-B4B4-0825B2453083}"/>
              </c:ext>
            </c:extLst>
          </c:dPt>
          <c:dLbls>
            <c:dLbl>
              <c:idx val="1"/>
              <c:layout>
                <c:manualLayout>
                  <c:x val="-1.9735934235930348E-2"/>
                  <c:y val="1.1273206605921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4-E343-B4B4-0825B2453083}"/>
                </c:ext>
              </c:extLst>
            </c:dLbl>
            <c:dLbl>
              <c:idx val="2"/>
              <c:layout>
                <c:manualLayout>
                  <c:x val="3.0261765828426459E-2"/>
                  <c:y val="-2.63041487471502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4-E343-B4B4-0825B2453083}"/>
                </c:ext>
              </c:extLst>
            </c:dLbl>
            <c:dLbl>
              <c:idx val="3"/>
              <c:layout>
                <c:manualLayout>
                  <c:x val="-6.5786447453100999E-3"/>
                  <c:y val="-6.0123768564914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4-E343-B4B4-0825B2453083}"/>
                </c:ext>
              </c:extLst>
            </c:dLbl>
            <c:dLbl>
              <c:idx val="4"/>
              <c:layout>
                <c:manualLayout>
                  <c:x val="3.9471868471860601E-3"/>
                  <c:y val="4.50928264236860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E4-E343-B4B4-0825B24530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'Energieverbruik in GJ'!$T$28:$T$35</c:f>
              <c:strCache>
                <c:ptCount val="8"/>
                <c:pt idx="0">
                  <c:v>Gasverbruik</c:v>
                </c:pt>
                <c:pt idx="1">
                  <c:v>Brandstofverbruik - diesel</c:v>
                </c:pt>
                <c:pt idx="2">
                  <c:v>Brandstofverbruik - benzine</c:v>
                </c:pt>
                <c:pt idx="3">
                  <c:v>Biogas gespuid</c:v>
                </c:pt>
                <c:pt idx="4">
                  <c:v>Elektriciteitsverbruik - grijze stroom</c:v>
                </c:pt>
                <c:pt idx="5">
                  <c:v>Elektriciteitsverbruik - groene stroom</c:v>
                </c:pt>
                <c:pt idx="6">
                  <c:v>Elektriciteitsverbruik - wagens</c:v>
                </c:pt>
                <c:pt idx="7">
                  <c:v>Warmte</c:v>
                </c:pt>
              </c:strCache>
            </c:strRef>
          </c:cat>
          <c:val>
            <c:numRef>
              <c:f>'Energieverbruik in GJ'!$U$28:$U$35</c:f>
              <c:numCache>
                <c:formatCode>_ * #,##0.00_ ;_ * \-#,##0.00_ ;_ * "-"??_ ;_ @_ </c:formatCode>
                <c:ptCount val="8"/>
                <c:pt idx="0">
                  <c:v>64567.898999999998</c:v>
                </c:pt>
                <c:pt idx="1">
                  <c:v>990.84249599999998</c:v>
                </c:pt>
                <c:pt idx="2">
                  <c:v>955.68314399999997</c:v>
                </c:pt>
                <c:pt idx="3">
                  <c:v>0</c:v>
                </c:pt>
                <c:pt idx="4">
                  <c:v>0</c:v>
                </c:pt>
                <c:pt idx="5">
                  <c:v>249024.61079999999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BC-C643-A37D-792425137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nl-NL"/>
        </a:p>
      </c:txPr>
    </c:legend>
    <c:plotVisOnly val="1"/>
    <c:dispBlanksAs val="zero"/>
    <c:showDLblsOverMax val="1"/>
  </c:chart>
  <c:spPr>
    <a:solidFill>
      <a:schemeClr val="lt1"/>
    </a:solidFill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6BBC93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 sz="1600" b="1">
                <a:solidFill>
                  <a:srgbClr val="6BBC93"/>
                </a:solidFill>
              </a:rPr>
              <a:t>Energieverbruik Delfland incl. verbonden partijen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6BBC93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NL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6-414A-9FDE-FFCEAD6515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5E-8242-B9F3-3C1CB55C88B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E-8242-B9F3-3C1CB55C88B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E-8242-B9F3-3C1CB55C88B1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C5E-8242-B9F3-3C1CB55C88B1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5E-8242-B9F3-3C1CB55C88B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66-414A-9FDE-FFCEAD65157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66-414A-9FDE-FFCEAD651572}"/>
              </c:ext>
            </c:extLst>
          </c:dPt>
          <c:dLbls>
            <c:dLbl>
              <c:idx val="1"/>
              <c:layout>
                <c:manualLayout>
                  <c:x val="-2.1406087812716395E-2"/>
                  <c:y val="4.37822010331909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E-8242-B9F3-3C1CB55C88B1}"/>
                </c:ext>
              </c:extLst>
            </c:dLbl>
            <c:dLbl>
              <c:idx val="2"/>
              <c:layout>
                <c:manualLayout>
                  <c:x val="1.4270725208477532E-2"/>
                  <c:y val="6.2546001475987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E-8242-B9F3-3C1CB55C88B1}"/>
                </c:ext>
              </c:extLst>
            </c:dLbl>
            <c:dLbl>
              <c:idx val="3"/>
              <c:layout>
                <c:manualLayout>
                  <c:x val="-2.8541450416955261E-2"/>
                  <c:y val="-3.75276008855922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E-8242-B9F3-3C1CB55C88B1}"/>
                </c:ext>
              </c:extLst>
            </c:dLbl>
            <c:dLbl>
              <c:idx val="4"/>
              <c:layout>
                <c:manualLayout>
                  <c:x val="1.4270725208477598E-2"/>
                  <c:y val="-4.69095011069904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E-8242-B9F3-3C1CB55C8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'Energieverbruik in GJ'!$B$28:$B$35</c:f>
              <c:strCache>
                <c:ptCount val="8"/>
                <c:pt idx="0">
                  <c:v>Gasverbruik</c:v>
                </c:pt>
                <c:pt idx="1">
                  <c:v>Brandstofverbruik - diesel</c:v>
                </c:pt>
                <c:pt idx="2">
                  <c:v>Brandstofverbruik - benzine</c:v>
                </c:pt>
                <c:pt idx="3">
                  <c:v>Biogas gespuid</c:v>
                </c:pt>
                <c:pt idx="4">
                  <c:v>Elektriciteitsverbruik - grijze stroom</c:v>
                </c:pt>
                <c:pt idx="5">
                  <c:v>Elektriciteitsverbruik - groene stroom</c:v>
                </c:pt>
                <c:pt idx="6">
                  <c:v>Elektriciteitsverbruik - wagens</c:v>
                </c:pt>
                <c:pt idx="7">
                  <c:v>Warmte</c:v>
                </c:pt>
              </c:strCache>
            </c:strRef>
          </c:cat>
          <c:val>
            <c:numRef>
              <c:f>'Energieverbruik in GJ'!$C$28:$C$35</c:f>
              <c:numCache>
                <c:formatCode>_ * #,##0.00_ ;_ * \-#,##0.00_ ;_ * "-"??_ ;_ @_ </c:formatCode>
                <c:ptCount val="8"/>
                <c:pt idx="0">
                  <c:v>66455.250533999992</c:v>
                </c:pt>
                <c:pt idx="1">
                  <c:v>1447.758850272</c:v>
                </c:pt>
                <c:pt idx="2">
                  <c:v>964.53600094800004</c:v>
                </c:pt>
                <c:pt idx="3">
                  <c:v>0</c:v>
                </c:pt>
                <c:pt idx="4">
                  <c:v>261.29806559999997</c:v>
                </c:pt>
                <c:pt idx="5">
                  <c:v>259890.05164319999</c:v>
                </c:pt>
                <c:pt idx="6">
                  <c:v>2.9134836000000002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E-8242-B9F3-3C1CB55C88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V1.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Voortgang!$B$45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Voortgang!$C$42:$M$42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Voortgang!$C$45:$E$45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0.17392238094055187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E-4AE6-A234-10B1574AC348}"/>
            </c:ext>
          </c:extLst>
        </c:ser>
        <c:ser>
          <c:idx val="2"/>
          <c:order val="1"/>
          <c:tx>
            <c:strRef>
              <c:f>Voortgang!$B$48</c:f>
              <c:strCache>
                <c:ptCount val="1"/>
                <c:pt idx="0">
                  <c:v>Relatieve voortgang hoeveelheid verpompt afvalwater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Voortgang!$C$42:$M$42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Voortgang!$C$48:$E$48</c:f>
              <c:numCache>
                <c:formatCode>0%</c:formatCode>
                <c:ptCount val="3"/>
                <c:pt idx="0">
                  <c:v>1</c:v>
                </c:pt>
                <c:pt idx="1">
                  <c:v>1.1284474454095317</c:v>
                </c:pt>
                <c:pt idx="2">
                  <c:v>0.16947646637108241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E-4AE6-A234-10B1574AC348}"/>
            </c:ext>
          </c:extLst>
        </c:ser>
        <c:ser>
          <c:idx val="0"/>
          <c:order val="2"/>
          <c:tx>
            <c:strRef>
              <c:f>Voortgang!$B$44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Voortgang!$C$44:$E$44</c:f>
              <c:numCache>
                <c:formatCode>0%</c:formatCode>
                <c:ptCount val="3"/>
                <c:pt idx="0">
                  <c:v>1</c:v>
                </c:pt>
                <c:pt idx="1">
                  <c:v>1.1843383815311246</c:v>
                </c:pt>
                <c:pt idx="2">
                  <c:v>0.17392238094055187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5-9748-8678-9BA77686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V2.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Voortgang!$P$45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Voortgang!$Q$42:$AA$42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Voortgang!$Q$45:$S$45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2-4C84-8B19-ED89339C0528}"/>
            </c:ext>
          </c:extLst>
        </c:ser>
        <c:ser>
          <c:idx val="2"/>
          <c:order val="1"/>
          <c:tx>
            <c:strRef>
              <c:f>Voortgang!$P$48</c:f>
              <c:strCache>
                <c:ptCount val="1"/>
                <c:pt idx="0">
                  <c:v>Relatieve voortgang hoeveelheid verpompt afvalwater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Voortgang!$Q$42:$AA$42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Voortgang!$Q$48:$S$48</c:f>
              <c:numCache>
                <c:formatCode>0%</c:formatCode>
                <c:ptCount val="3"/>
                <c:pt idx="0">
                  <c:v>1</c:v>
                </c:pt>
                <c:pt idx="1">
                  <c:v>1.1513107146937651</c:v>
                </c:pt>
                <c:pt idx="2">
                  <c:v>0.15296646865609634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2-4C84-8B19-ED89339C0528}"/>
            </c:ext>
          </c:extLst>
        </c:ser>
        <c:ser>
          <c:idx val="0"/>
          <c:order val="2"/>
          <c:tx>
            <c:strRef>
              <c:f>Voortgang!$P$44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Voortgang!$Q$44:$S$44</c:f>
              <c:numCache>
                <c:formatCode>0%</c:formatCode>
                <c:ptCount val="3"/>
                <c:pt idx="0">
                  <c:v>1</c:v>
                </c:pt>
                <c:pt idx="1">
                  <c:v>1.2083340469480217</c:v>
                </c:pt>
                <c:pt idx="2">
                  <c:v>0.15697927271202555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B-C445-AB37-C738C6CBD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V3.</a:t>
            </a:r>
            <a:r>
              <a:rPr lang="nl-NL" sz="1800" b="1" baseline="0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Voortgang!$B$104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Voortgang!$C$104:$M$104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8C6-A198-92A96A790FD5}"/>
            </c:ext>
          </c:extLst>
        </c:ser>
        <c:ser>
          <c:idx val="2"/>
          <c:order val="1"/>
          <c:tx>
            <c:strRef>
              <c:f>Voortgang!$B$105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Voortgang!$C$105:$M$105</c:f>
              <c:numCache>
                <c:formatCode>0%</c:formatCode>
                <c:ptCount val="7"/>
                <c:pt idx="0">
                  <c:v>0.82499999999999996</c:v>
                </c:pt>
                <c:pt idx="1">
                  <c:v>0.76666666666666661</c:v>
                </c:pt>
                <c:pt idx="2">
                  <c:v>0.70833333333333326</c:v>
                </c:pt>
                <c:pt idx="3">
                  <c:v>0.64999999999999991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09-48C6-A198-92A96A79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</a:t>
            </a:r>
            <a:r>
              <a:rPr lang="nl-NL" sz="1800" b="1" baseline="0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V4. 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Voortgang!$P$104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Voortgang!$Q$104:$AA$104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0-4E3D-88CC-84D2B9DE88BC}"/>
            </c:ext>
          </c:extLst>
        </c:ser>
        <c:ser>
          <c:idx val="2"/>
          <c:order val="1"/>
          <c:tx>
            <c:strRef>
              <c:f>Voortgang!$P$105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Voortgang!$Q$105:$AA$105</c:f>
              <c:numCache>
                <c:formatCode>0%</c:formatCode>
                <c:ptCount val="7"/>
                <c:pt idx="0">
                  <c:v>0.82499999999999996</c:v>
                </c:pt>
                <c:pt idx="1">
                  <c:v>0.76666666666666661</c:v>
                </c:pt>
                <c:pt idx="2">
                  <c:v>0.70833333333333326</c:v>
                </c:pt>
                <c:pt idx="3">
                  <c:v>0.64999999999999991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0-4E3D-88CC-84D2B9DE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 V3. </a:t>
            </a: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Voortgang!$AD$45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Voortgang!$AE$42:$AK$42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Voortgang!$AE$45:$AG$45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1-754D-A9E2-2D0E46111276}"/>
            </c:ext>
          </c:extLst>
        </c:ser>
        <c:ser>
          <c:idx val="2"/>
          <c:order val="1"/>
          <c:tx>
            <c:strRef>
              <c:f>Voortgang!$AD$48</c:f>
              <c:strCache>
                <c:ptCount val="1"/>
                <c:pt idx="0">
                  <c:v>Relatieve voortgang hoeveelheid verpompt afvalwater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Voortgang!$AE$42:$AK$42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Voortgang!$AE$48:$AG$48</c:f>
              <c:numCache>
                <c:formatCode>0%</c:formatCode>
                <c:ptCount val="3"/>
                <c:pt idx="0">
                  <c:v>1</c:v>
                </c:pt>
                <c:pt idx="1">
                  <c:v>1.1301371870258952</c:v>
                </c:pt>
                <c:pt idx="2">
                  <c:v>0.16312258130482538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1-754D-A9E2-2D0E46111276}"/>
            </c:ext>
          </c:extLst>
        </c:ser>
        <c:ser>
          <c:idx val="0"/>
          <c:order val="2"/>
          <c:tx>
            <c:strRef>
              <c:f>Voortgang!$AD$44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Voortgang!$AE$44:$AG$44</c:f>
              <c:numCache>
                <c:formatCode>0%</c:formatCode>
                <c:ptCount val="3"/>
                <c:pt idx="0">
                  <c:v>1</c:v>
                </c:pt>
                <c:pt idx="1">
                  <c:v>1.1861118144537393</c:v>
                </c:pt>
                <c:pt idx="2">
                  <c:v>0.16740181296666948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4-4D47-AB52-B433607D8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</a:t>
            </a:r>
            <a:r>
              <a:rPr lang="nl-NL" sz="1800" b="1" baseline="0">
                <a:solidFill>
                  <a:srgbClr val="61B57D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V6. </a:t>
            </a:r>
            <a:r>
              <a:rPr lang="nl-NL" sz="1800" b="1" baseline="0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  <a:endParaRPr lang="nl-NL" sz="1800" b="1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Voortgang!$AD$104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Voortgang!$AE$104:$AJ$104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0-E748-96D1-043BD9D18D15}"/>
            </c:ext>
          </c:extLst>
        </c:ser>
        <c:ser>
          <c:idx val="2"/>
          <c:order val="1"/>
          <c:tx>
            <c:strRef>
              <c:f>Voortgang!$AD$105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Voortgang!$AE$105:$AJ$105</c:f>
              <c:numCache>
                <c:formatCode>0%</c:formatCode>
                <c:ptCount val="6"/>
                <c:pt idx="0">
                  <c:v>0.82499999999999996</c:v>
                </c:pt>
                <c:pt idx="1">
                  <c:v>0.76666666666666661</c:v>
                </c:pt>
                <c:pt idx="2">
                  <c:v>0.70833333333333326</c:v>
                </c:pt>
                <c:pt idx="3">
                  <c:v>0.64999999999999991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0-E748-96D1-043BD9D18D15}"/>
            </c:ext>
          </c:extLst>
        </c:ser>
        <c:ser>
          <c:idx val="0"/>
          <c:order val="2"/>
          <c:tx>
            <c:strRef>
              <c:f>Voortgang!#REF!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Voortgang!$Q$102:$AA$102</c:f>
              <c:numCache>
                <c:formatCode>0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Voortgang!#REF!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0-E748-96D1-043BD9D18D15}"/>
            </c:ext>
          </c:extLst>
        </c:ser>
        <c:ser>
          <c:idx val="3"/>
          <c:order val="3"/>
          <c:tx>
            <c:strRef>
              <c:f>Voortgang!#REF!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Voortgang!#REF!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0-E748-96D1-043BD9D18D15}"/>
            </c:ext>
          </c:extLst>
        </c:ser>
        <c:ser>
          <c:idx val="4"/>
          <c:order val="4"/>
          <c:tx>
            <c:strRef>
              <c:f>Voortgang!#REF!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Voortgang!#REF!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50-E748-96D1-043BD9D1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200" b="1">
                <a:solidFill>
                  <a:srgbClr val="6BBC93"/>
                </a:solidFill>
              </a:rPr>
              <a:t>Figuur A. </a:t>
            </a:r>
            <a:r>
              <a:rPr lang="nl-NL" sz="1200" b="1"/>
              <a:t>Gasverbruik per vestiging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Energiebeoordelingen!$C$4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Energiebeoordelingen!$B$5:$B$13</c:f>
              <c:strCache>
                <c:ptCount val="9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</c:strCache>
            </c:strRef>
          </c:cat>
          <c:val>
            <c:numRef>
              <c:f>Energiebeoordelingen!$C$5:$C$13</c:f>
              <c:numCache>
                <c:formatCode>#,##0</c:formatCode>
                <c:ptCount val="9"/>
                <c:pt idx="0">
                  <c:v>2662</c:v>
                </c:pt>
                <c:pt idx="1">
                  <c:v>9335</c:v>
                </c:pt>
                <c:pt idx="2">
                  <c:v>423364</c:v>
                </c:pt>
                <c:pt idx="3">
                  <c:v>327133</c:v>
                </c:pt>
                <c:pt idx="4">
                  <c:v>32036</c:v>
                </c:pt>
                <c:pt idx="5">
                  <c:v>55816</c:v>
                </c:pt>
                <c:pt idx="6">
                  <c:v>56656</c:v>
                </c:pt>
                <c:pt idx="7">
                  <c:v>3913.0519999999997</c:v>
                </c:pt>
                <c:pt idx="8">
                  <c:v>13457.973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3-4070-BB52-067F6373CF27}"/>
            </c:ext>
          </c:extLst>
        </c:ser>
        <c:ser>
          <c:idx val="1"/>
          <c:order val="1"/>
          <c:tx>
            <c:strRef>
              <c:f>Energiebeoordelingen!$D$4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Energiebeoordelingen!$B$5:$B$13</c:f>
              <c:strCache>
                <c:ptCount val="9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</c:strCache>
            </c:strRef>
          </c:cat>
          <c:val>
            <c:numRef>
              <c:f>Energiebeoordelingen!$D$5:$D$13</c:f>
              <c:numCache>
                <c:formatCode>#,##0</c:formatCode>
                <c:ptCount val="9"/>
                <c:pt idx="0">
                  <c:v>11050</c:v>
                </c:pt>
                <c:pt idx="1">
                  <c:v>40029</c:v>
                </c:pt>
                <c:pt idx="2">
                  <c:v>447554</c:v>
                </c:pt>
                <c:pt idx="3">
                  <c:v>924165</c:v>
                </c:pt>
                <c:pt idx="4">
                  <c:v>19840</c:v>
                </c:pt>
                <c:pt idx="5">
                  <c:v>58378</c:v>
                </c:pt>
                <c:pt idx="6">
                  <c:v>64429</c:v>
                </c:pt>
                <c:pt idx="7">
                  <c:v>3813.2379999999998</c:v>
                </c:pt>
                <c:pt idx="8">
                  <c:v>15838.368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3-4070-BB52-067F6373CF27}"/>
            </c:ext>
          </c:extLst>
        </c:ser>
        <c:ser>
          <c:idx val="2"/>
          <c:order val="2"/>
          <c:tx>
            <c:strRef>
              <c:f>Energiebeoordelingen!$E$4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Energiebeoordelingen!$B$5:$B$13</c:f>
              <c:strCache>
                <c:ptCount val="9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</c:strCache>
            </c:strRef>
          </c:cat>
          <c:val>
            <c:numRef>
              <c:f>Energiebeoordelingen!$E$5:$E$13</c:f>
              <c:numCache>
                <c:formatCode>#,##0</c:formatCode>
                <c:ptCount val="9"/>
                <c:pt idx="0">
                  <c:v>10389</c:v>
                </c:pt>
                <c:pt idx="1">
                  <c:v>482075</c:v>
                </c:pt>
                <c:pt idx="2">
                  <c:v>421887</c:v>
                </c:pt>
                <c:pt idx="3">
                  <c:v>1028829</c:v>
                </c:pt>
                <c:pt idx="4">
                  <c:v>16562</c:v>
                </c:pt>
                <c:pt idx="5">
                  <c:v>80318</c:v>
                </c:pt>
                <c:pt idx="6">
                  <c:v>37791</c:v>
                </c:pt>
                <c:pt idx="7">
                  <c:v>3951.0899999999997</c:v>
                </c:pt>
                <c:pt idx="8">
                  <c:v>17889.87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C-E94F-A52B-699B60EC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442360"/>
        <c:axId val="591445560"/>
        <c:extLst/>
      </c:barChart>
      <c:catAx>
        <c:axId val="59144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91445560"/>
        <c:crosses val="autoZero"/>
        <c:auto val="1"/>
        <c:lblAlgn val="ctr"/>
        <c:lblOffset val="100"/>
        <c:noMultiLvlLbl val="0"/>
      </c:catAx>
      <c:valAx>
        <c:axId val="59144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9144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200" b="1">
                <a:solidFill>
                  <a:srgbClr val="6BBC93"/>
                </a:solidFill>
              </a:rPr>
              <a:t>Figuur B. </a:t>
            </a:r>
            <a:r>
              <a:rPr lang="nl-NL" sz="1200" b="1"/>
              <a:t>Elektriciteitsverbruik per verbruiker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Energiebeoordelingen!$C$19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Energiebeoordelingen!$B$20:$B$28</c:f>
              <c:strCache>
                <c:ptCount val="9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</c:strCache>
            </c:strRef>
          </c:cat>
          <c:val>
            <c:numRef>
              <c:f>Energiebeoordelingen!$C$20:$C$28</c:f>
              <c:numCache>
                <c:formatCode>#,##0</c:formatCode>
                <c:ptCount val="9"/>
                <c:pt idx="0">
                  <c:v>1946765</c:v>
                </c:pt>
                <c:pt idx="1">
                  <c:v>9625157</c:v>
                </c:pt>
                <c:pt idx="2">
                  <c:v>9746444</c:v>
                </c:pt>
                <c:pt idx="3">
                  <c:v>24116233</c:v>
                </c:pt>
                <c:pt idx="4">
                  <c:v>5406947</c:v>
                </c:pt>
                <c:pt idx="5">
                  <c:v>538560</c:v>
                </c:pt>
                <c:pt idx="6">
                  <c:v>4631800</c:v>
                </c:pt>
                <c:pt idx="7">
                  <c:v>92629.393999999986</c:v>
                </c:pt>
                <c:pt idx="8">
                  <c:v>134573.29200000002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18-44A5-91E5-2E86D4846A1E}"/>
            </c:ext>
          </c:extLst>
        </c:ser>
        <c:ser>
          <c:idx val="1"/>
          <c:order val="1"/>
          <c:tx>
            <c:strRef>
              <c:f>Energiebeoordelingen!$D$19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Energiebeoordelingen!$B$20:$B$28</c:f>
              <c:strCache>
                <c:ptCount val="9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</c:strCache>
            </c:strRef>
          </c:cat>
          <c:val>
            <c:numRef>
              <c:f>Energiebeoordelingen!$D$20:$D$28</c:f>
              <c:numCache>
                <c:formatCode>#,##0</c:formatCode>
                <c:ptCount val="9"/>
                <c:pt idx="0">
                  <c:v>2451325</c:v>
                </c:pt>
                <c:pt idx="1">
                  <c:v>9641890</c:v>
                </c:pt>
                <c:pt idx="2">
                  <c:v>8914312</c:v>
                </c:pt>
                <c:pt idx="3">
                  <c:v>36226744</c:v>
                </c:pt>
                <c:pt idx="4">
                  <c:v>6160827</c:v>
                </c:pt>
                <c:pt idx="5">
                  <c:v>451101</c:v>
                </c:pt>
                <c:pt idx="6">
                  <c:v>4742600</c:v>
                </c:pt>
                <c:pt idx="7">
                  <c:v>84542.743999999992</c:v>
                </c:pt>
                <c:pt idx="8">
                  <c:v>141087.77100000001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18-44A5-91E5-2E86D4846A1E}"/>
            </c:ext>
          </c:extLst>
        </c:ser>
        <c:ser>
          <c:idx val="2"/>
          <c:order val="2"/>
          <c:tx>
            <c:strRef>
              <c:f>Energiebeoordelingen!$E$19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Energiebeoordelingen!$B$20:$B$28</c:f>
              <c:strCache>
                <c:ptCount val="9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</c:strCache>
            </c:strRef>
          </c:cat>
          <c:val>
            <c:numRef>
              <c:f>Energiebeoordelingen!$E$20:$E$28</c:f>
              <c:numCache>
                <c:formatCode>#,##0</c:formatCode>
                <c:ptCount val="9"/>
                <c:pt idx="0">
                  <c:v>2245773</c:v>
                </c:pt>
                <c:pt idx="1">
                  <c:v>15271504</c:v>
                </c:pt>
                <c:pt idx="2">
                  <c:v>8695438</c:v>
                </c:pt>
                <c:pt idx="3">
                  <c:v>37075339</c:v>
                </c:pt>
                <c:pt idx="4">
                  <c:v>5441254</c:v>
                </c:pt>
                <c:pt idx="5">
                  <c:v>444195</c:v>
                </c:pt>
                <c:pt idx="6">
                  <c:v>2875000</c:v>
                </c:pt>
                <c:pt idx="7">
                  <c:v>72582.795999999988</c:v>
                </c:pt>
                <c:pt idx="8">
                  <c:v>143178.01199999999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0-954A-A555-38BE5C96E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442360"/>
        <c:axId val="591445560"/>
        <c:extLst/>
      </c:barChart>
      <c:catAx>
        <c:axId val="59144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91445560"/>
        <c:crosses val="autoZero"/>
        <c:auto val="1"/>
        <c:lblAlgn val="ctr"/>
        <c:lblOffset val="100"/>
        <c:noMultiLvlLbl val="0"/>
      </c:catAx>
      <c:valAx>
        <c:axId val="59144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nl-NL"/>
          </a:p>
        </c:txPr>
        <c:crossAx val="59144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385762</xdr:rowOff>
    </xdr:from>
    <xdr:ext cx="28670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5" y="385762"/>
          <a:ext cx="286702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573793</xdr:colOff>
      <xdr:row>48</xdr:row>
      <xdr:rowOff>72833</xdr:rowOff>
    </xdr:from>
    <xdr:ext cx="10760075" cy="5048250"/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97E62AA1-6BB9-4402-8077-0C0F7EB45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333830</xdr:colOff>
      <xdr:row>48</xdr:row>
      <xdr:rowOff>175136</xdr:rowOff>
    </xdr:from>
    <xdr:ext cx="11197769" cy="5527163"/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2C09470E-A057-47DF-8967-436101FAC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>
    <xdr:from>
      <xdr:col>14</xdr:col>
      <xdr:colOff>2406650</xdr:colOff>
      <xdr:row>48</xdr:row>
      <xdr:rowOff>114300</xdr:rowOff>
    </xdr:from>
    <xdr:to>
      <xdr:col>19</xdr:col>
      <xdr:colOff>368300</xdr:colOff>
      <xdr:row>75</xdr:row>
      <xdr:rowOff>25400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8B26E1D-5E67-1446-58BB-AC253287E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161925</xdr:rowOff>
    </xdr:from>
    <xdr:ext cx="20193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C5CCCC29-B921-4047-AF9D-B05DB76493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25" y="161925"/>
          <a:ext cx="2019300" cy="5715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22411</xdr:colOff>
      <xdr:row>58</xdr:row>
      <xdr:rowOff>134470</xdr:rowOff>
    </xdr:from>
    <xdr:to>
      <xdr:col>6</xdr:col>
      <xdr:colOff>32720</xdr:colOff>
      <xdr:row>74</xdr:row>
      <xdr:rowOff>170328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D5AE85E-395D-D048-8D91-8336EBF96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203611</xdr:colOff>
      <xdr:row>58</xdr:row>
      <xdr:rowOff>93456</xdr:rowOff>
    </xdr:from>
    <xdr:to>
      <xdr:col>13</xdr:col>
      <xdr:colOff>0</xdr:colOff>
      <xdr:row>74</xdr:row>
      <xdr:rowOff>127409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37FCD21B-BA87-8645-9CE4-33E8718A6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209176</xdr:colOff>
      <xdr:row>24</xdr:row>
      <xdr:rowOff>74706</xdr:rowOff>
    </xdr:from>
    <xdr:ext cx="10365439" cy="3763760"/>
    <xdr:graphicFrame macro="">
      <xdr:nvGraphicFramePr>
        <xdr:cNvPr id="7" name="Chart 2" title="Diagram">
          <a:extLst>
            <a:ext uri="{FF2B5EF4-FFF2-40B4-BE49-F238E27FC236}">
              <a16:creationId xmlns:a16="http://schemas.microsoft.com/office/drawing/2014/main" id="{29873D7D-6084-D640-BB38-F9AC603B3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18</xdr:col>
      <xdr:colOff>134471</xdr:colOff>
      <xdr:row>24</xdr:row>
      <xdr:rowOff>89646</xdr:rowOff>
    </xdr:from>
    <xdr:ext cx="10365439" cy="3763760"/>
    <xdr:graphicFrame macro="">
      <xdr:nvGraphicFramePr>
        <xdr:cNvPr id="8" name="Chart 2" title="Diagram">
          <a:extLst>
            <a:ext uri="{FF2B5EF4-FFF2-40B4-BE49-F238E27FC236}">
              <a16:creationId xmlns:a16="http://schemas.microsoft.com/office/drawing/2014/main" id="{80B94396-B208-D841-97A6-EF67E7C62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twoCellAnchor>
    <xdr:from>
      <xdr:col>0</xdr:col>
      <xdr:colOff>0</xdr:colOff>
      <xdr:row>22</xdr:row>
      <xdr:rowOff>17928</xdr:rowOff>
    </xdr:from>
    <xdr:to>
      <xdr:col>5</xdr:col>
      <xdr:colOff>268942</xdr:colOff>
      <xdr:row>98</xdr:row>
      <xdr:rowOff>89646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BB284A6A-5DEA-0DC2-D768-C381601E3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511970</xdr:colOff>
      <xdr:row>0</xdr:row>
      <xdr:rowOff>164307</xdr:rowOff>
    </xdr:from>
    <xdr:ext cx="2024062" cy="571579"/>
    <xdr:pic>
      <xdr:nvPicPr>
        <xdr:cNvPr id="3" name="image1.png">
          <a:extLst>
            <a:ext uri="{FF2B5EF4-FFF2-40B4-BE49-F238E27FC236}">
              <a16:creationId xmlns:a16="http://schemas.microsoft.com/office/drawing/2014/main" id="{2197D635-A63C-4781-B3E0-A33E6D4468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970" y="164307"/>
          <a:ext cx="2024062" cy="571579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333376</xdr:colOff>
      <xdr:row>48</xdr:row>
      <xdr:rowOff>149621</xdr:rowOff>
    </xdr:from>
    <xdr:to>
      <xdr:col>9</xdr:col>
      <xdr:colOff>0</xdr:colOff>
      <xdr:row>64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9AB1DE5-3C92-4963-BA0A-ED1F74E71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465137</xdr:colOff>
      <xdr:row>48</xdr:row>
      <xdr:rowOff>165100</xdr:rowOff>
    </xdr:from>
    <xdr:to>
      <xdr:col>22</xdr:col>
      <xdr:colOff>889000</xdr:colOff>
      <xdr:row>64</xdr:row>
      <xdr:rowOff>12304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A0604028-CB28-4E6B-A6EC-DF89D19B3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297656</xdr:colOff>
      <xdr:row>106</xdr:row>
      <xdr:rowOff>119063</xdr:rowOff>
    </xdr:from>
    <xdr:to>
      <xdr:col>9</xdr:col>
      <xdr:colOff>0</xdr:colOff>
      <xdr:row>123</xdr:row>
      <xdr:rowOff>1985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42B60D90-1E52-4D72-BD03-D8460D8B2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106</xdr:row>
      <xdr:rowOff>95250</xdr:rowOff>
    </xdr:from>
    <xdr:to>
      <xdr:col>28</xdr:col>
      <xdr:colOff>69055</xdr:colOff>
      <xdr:row>122</xdr:row>
      <xdr:rowOff>180579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E5A8E3EB-096C-4563-A019-241ADA83A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0</xdr:colOff>
      <xdr:row>49</xdr:row>
      <xdr:rowOff>0</xdr:rowOff>
    </xdr:from>
    <xdr:to>
      <xdr:col>37</xdr:col>
      <xdr:colOff>296863</xdr:colOff>
      <xdr:row>64</xdr:row>
      <xdr:rowOff>37704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87E1A1DD-8ACC-B34F-9F6C-E0FF2DF0D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264584</xdr:colOff>
      <xdr:row>106</xdr:row>
      <xdr:rowOff>84667</xdr:rowOff>
    </xdr:from>
    <xdr:to>
      <xdr:col>38</xdr:col>
      <xdr:colOff>79639</xdr:colOff>
      <xdr:row>122</xdr:row>
      <xdr:rowOff>169996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686802C3-3639-7A45-93C9-9C3EB3225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425450</xdr:colOff>
      <xdr:row>0</xdr:row>
      <xdr:rowOff>209550</xdr:rowOff>
    </xdr:from>
    <xdr:ext cx="28670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5FBAD8ED-242D-4B7B-8459-F16A5B18A5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450" y="209550"/>
          <a:ext cx="28670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807357</xdr:colOff>
      <xdr:row>1</xdr:row>
      <xdr:rowOff>54429</xdr:rowOff>
    </xdr:from>
    <xdr:ext cx="2867025" cy="809625"/>
    <xdr:pic>
      <xdr:nvPicPr>
        <xdr:cNvPr id="3" name="image1.png">
          <a:extLst>
            <a:ext uri="{FF2B5EF4-FFF2-40B4-BE49-F238E27FC236}">
              <a16:creationId xmlns:a16="http://schemas.microsoft.com/office/drawing/2014/main" id="{4BFA7552-4E8B-475E-B5B1-CF299A5485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357" y="235858"/>
          <a:ext cx="2867025" cy="8096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382587</xdr:colOff>
      <xdr:row>2</xdr:row>
      <xdr:rowOff>9525</xdr:rowOff>
    </xdr:from>
    <xdr:to>
      <xdr:col>20</xdr:col>
      <xdr:colOff>317500</xdr:colOff>
      <xdr:row>20</xdr:row>
      <xdr:rowOff>101600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55ED839-9FB8-40E5-AFB1-E5C573D195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431801</xdr:colOff>
      <xdr:row>22</xdr:row>
      <xdr:rowOff>44449</xdr:rowOff>
    </xdr:from>
    <xdr:to>
      <xdr:col>20</xdr:col>
      <xdr:colOff>330200</xdr:colOff>
      <xdr:row>45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37F0F655-D13F-4D47-981D-FEAA0C461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ope%203%20kwantitatief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DeDuurzameAdviseurs-PersoonlijkeMappen/Gedeelde%20documenten/Persoonlijke%20Mappen/Oud%20collega's/5.%20Cleo/1.%20Klanten/Hoogheemraadschap%20Schieland%20en%20de%20Krimpenerwaard%20N3/CO2-footprint%20&amp;%20voortgang%20reductie%20HHSK.xlsx?85E286EA" TargetMode="External"/><Relationship Id="rId1" Type="http://schemas.openxmlformats.org/officeDocument/2006/relationships/externalLinkPath" Target="file:///85E286EA/CO2-footprint%20&amp;%20voortgang%20reductie%20HH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eën"/>
      <sheetName val="Introductie"/>
      <sheetName val="Kwantitatieve analyse"/>
      <sheetName val="Voortgang"/>
      <sheetName val="Data"/>
      <sheetName val="Input keuzevariabelen"/>
      <sheetName val="Leverancierslijst"/>
      <sheetName val="Uitleg categorieën GHG"/>
    </sheetNames>
    <sheetDataSet>
      <sheetData sheetId="0"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tprints"/>
      <sheetName val="Voortgang"/>
      <sheetName val="Data"/>
      <sheetName val="Input keuzevariabelen"/>
      <sheetName val="Energiebeoordelingen"/>
    </sheetNames>
    <sheetDataSet>
      <sheetData sheetId="0"/>
      <sheetData sheetId="1"/>
      <sheetData sheetId="2"/>
      <sheetData sheetId="3">
        <row r="11">
          <cell r="E11" t="str">
            <v>Gasverbruik</v>
          </cell>
          <cell r="F11">
            <v>1</v>
          </cell>
          <cell r="G11" t="str">
            <v>m3</v>
          </cell>
          <cell r="H11">
            <v>1890</v>
          </cell>
          <cell r="I11" t="str">
            <v>gram CO2/m3</v>
          </cell>
        </row>
        <row r="12">
          <cell r="E12" t="str">
            <v>Brandstofverbruik - diesel</v>
          </cell>
          <cell r="F12">
            <v>1</v>
          </cell>
          <cell r="G12" t="str">
            <v>liter</v>
          </cell>
          <cell r="H12">
            <v>3309</v>
          </cell>
          <cell r="I12" t="str">
            <v>gram CO2/liter</v>
          </cell>
        </row>
        <row r="13">
          <cell r="E13" t="str">
            <v>Brandstofverbruik - benzine</v>
          </cell>
          <cell r="F13">
            <v>1</v>
          </cell>
          <cell r="G13" t="str">
            <v>liter</v>
          </cell>
          <cell r="H13">
            <v>2884</v>
          </cell>
          <cell r="I13" t="str">
            <v>gram CO2/liter</v>
          </cell>
        </row>
        <row r="14">
          <cell r="E14" t="str">
            <v>Brandstofverbruik - cng</v>
          </cell>
          <cell r="F14">
            <v>1</v>
          </cell>
          <cell r="G14" t="str">
            <v>kg</v>
          </cell>
          <cell r="H14">
            <v>2728</v>
          </cell>
          <cell r="I14" t="str">
            <v>gram CO2/kg</v>
          </cell>
        </row>
        <row r="15">
          <cell r="E15" t="str">
            <v>Verbruik elektrische auto's - kilometers</v>
          </cell>
          <cell r="F15">
            <v>1</v>
          </cell>
          <cell r="G15" t="str">
            <v>km</v>
          </cell>
          <cell r="H15">
            <v>107</v>
          </cell>
          <cell r="I15" t="str">
            <v>gram CO2/km</v>
          </cell>
        </row>
        <row r="16">
          <cell r="E16" t="str">
            <v>AdBlue</v>
          </cell>
          <cell r="F16">
            <v>1</v>
          </cell>
          <cell r="G16" t="str">
            <v>liter</v>
          </cell>
          <cell r="H16">
            <v>260</v>
          </cell>
          <cell r="I16" t="str">
            <v>gram CO2/liter</v>
          </cell>
        </row>
        <row r="17">
          <cell r="E17" t="str">
            <v>Biogas gespuid</v>
          </cell>
          <cell r="F17">
            <v>1</v>
          </cell>
          <cell r="G17" t="str">
            <v>liter</v>
          </cell>
          <cell r="H17">
            <v>11050</v>
          </cell>
          <cell r="I17" t="str">
            <v>gram CO2/m3</v>
          </cell>
        </row>
        <row r="18">
          <cell r="E18" t="str">
            <v>Elektriciteitsverbruik - grijze stroom</v>
          </cell>
          <cell r="F18">
            <v>2</v>
          </cell>
          <cell r="G18" t="str">
            <v>kWh</v>
          </cell>
          <cell r="H18">
            <v>649</v>
          </cell>
          <cell r="I18" t="str">
            <v>gram CO2/kWh</v>
          </cell>
        </row>
        <row r="19">
          <cell r="E19" t="str">
            <v>Elektriciteitsverbruik - groene stroom</v>
          </cell>
          <cell r="F19">
            <v>2</v>
          </cell>
          <cell r="G19" t="str">
            <v>kWh</v>
          </cell>
          <cell r="H19">
            <v>0</v>
          </cell>
          <cell r="I19" t="str">
            <v>gram CO2/kWh</v>
          </cell>
        </row>
        <row r="20">
          <cell r="E20" t="str">
            <v>Elektriciteitsverbruik - wagens</v>
          </cell>
          <cell r="F20">
            <v>2</v>
          </cell>
          <cell r="G20" t="str">
            <v>kWh</v>
          </cell>
          <cell r="H20">
            <v>649</v>
          </cell>
          <cell r="I20" t="str">
            <v>gram CO2/kWh</v>
          </cell>
        </row>
        <row r="21">
          <cell r="E21" t="str">
            <v>Warmte</v>
          </cell>
          <cell r="F21">
            <v>2</v>
          </cell>
          <cell r="G21" t="str">
            <v>GJ</v>
          </cell>
          <cell r="H21">
            <v>35970</v>
          </cell>
          <cell r="I21" t="str">
            <v>gram CO2/GJ</v>
          </cell>
        </row>
        <row r="22">
          <cell r="E22" t="str">
            <v>Zakelijk vervoer - gedeclareerde kilometers</v>
          </cell>
          <cell r="F22" t="str">
            <v>bt</v>
          </cell>
          <cell r="G22" t="str">
            <v>km</v>
          </cell>
          <cell r="H22">
            <v>220</v>
          </cell>
          <cell r="I22" t="str">
            <v>gram CO2/km</v>
          </cell>
        </row>
        <row r="23">
          <cell r="E23" t="str">
            <v>Zakelijk vervoer - openbaar vervoer</v>
          </cell>
          <cell r="F23" t="str">
            <v>bt</v>
          </cell>
          <cell r="G23" t="str">
            <v>km</v>
          </cell>
          <cell r="H23">
            <v>36</v>
          </cell>
          <cell r="I23" t="str">
            <v>gram CO2/km</v>
          </cell>
        </row>
        <row r="24">
          <cell r="E24" t="str">
            <v>Zakelijk vervoer - treinkilometers</v>
          </cell>
          <cell r="F24" t="str">
            <v>bt</v>
          </cell>
          <cell r="G24" t="str">
            <v>km</v>
          </cell>
          <cell r="H24">
            <v>6</v>
          </cell>
          <cell r="I24" t="str">
            <v>gram CO2/km</v>
          </cell>
        </row>
        <row r="25">
          <cell r="E25" t="str">
            <v>Vliegreizen &lt;700 km</v>
          </cell>
          <cell r="F25" t="str">
            <v>bt</v>
          </cell>
          <cell r="G25" t="str">
            <v>km</v>
          </cell>
          <cell r="H25">
            <v>297</v>
          </cell>
          <cell r="I25" t="str">
            <v>gram CO2/km</v>
          </cell>
        </row>
        <row r="26">
          <cell r="E26" t="str">
            <v>Vliegreizen 700-2500 km</v>
          </cell>
          <cell r="F26" t="str">
            <v>bt</v>
          </cell>
          <cell r="G26" t="str">
            <v>km</v>
          </cell>
          <cell r="H26">
            <v>200</v>
          </cell>
          <cell r="I26" t="str">
            <v>gram CO2/km</v>
          </cell>
        </row>
        <row r="27">
          <cell r="E27" t="str">
            <v>Vliegreizen &gt;2500 km</v>
          </cell>
          <cell r="F27" t="str">
            <v>bt</v>
          </cell>
          <cell r="G27" t="str">
            <v>km</v>
          </cell>
          <cell r="H27">
            <v>147</v>
          </cell>
          <cell r="I27" t="str">
            <v>gram CO2/km</v>
          </cell>
        </row>
        <row r="28">
          <cell r="E28" t="str">
            <v>Biogas afgefakkeld</v>
          </cell>
          <cell r="F28" t="str">
            <v>Memo</v>
          </cell>
          <cell r="G28" t="str">
            <v>m3</v>
          </cell>
          <cell r="H28">
            <v>1962</v>
          </cell>
          <cell r="I28" t="str">
            <v>gram CO2/m3</v>
          </cell>
        </row>
        <row r="29">
          <cell r="E29" t="str">
            <v>Biogas inzet WKK</v>
          </cell>
          <cell r="F29" t="str">
            <v>Memo</v>
          </cell>
          <cell r="G29" t="str">
            <v>m3</v>
          </cell>
          <cell r="H29">
            <v>1962</v>
          </cell>
          <cell r="I29" t="str">
            <v>gram CO2/m3</v>
          </cell>
        </row>
        <row r="30">
          <cell r="E30" t="str">
            <v>Biomassa</v>
          </cell>
          <cell r="F30">
            <v>1</v>
          </cell>
          <cell r="G30" t="str">
            <v>GJ</v>
          </cell>
          <cell r="H30">
            <v>0.1096</v>
          </cell>
          <cell r="I30" t="str">
            <v>gram CO2/kg</v>
          </cell>
        </row>
        <row r="31">
          <cell r="E31" t="str">
            <v>Transport afvalwater</v>
          </cell>
          <cell r="F31" t="str">
            <v>KPI</v>
          </cell>
          <cell r="G31"/>
          <cell r="H31"/>
          <cell r="I31"/>
        </row>
        <row r="32">
          <cell r="E32" t="str">
            <v>Zuiveren afvalwater</v>
          </cell>
          <cell r="F32" t="str">
            <v>KPI</v>
          </cell>
          <cell r="G32"/>
          <cell r="H32"/>
          <cell r="I32"/>
        </row>
        <row r="33">
          <cell r="E33" t="str">
            <v>Neerslag</v>
          </cell>
          <cell r="F33" t="str">
            <v>KPI</v>
          </cell>
          <cell r="G33"/>
          <cell r="H33"/>
          <cell r="I33"/>
        </row>
        <row r="34">
          <cell r="E34" t="str">
            <v>Inwonerequivalent</v>
          </cell>
          <cell r="F34" t="str">
            <v>KPI</v>
          </cell>
          <cell r="G34"/>
          <cell r="H34"/>
          <cell r="I34"/>
        </row>
        <row r="35">
          <cell r="E35" t="str">
            <v>Gereden kilometers</v>
          </cell>
          <cell r="F35" t="str">
            <v>KPI</v>
          </cell>
          <cell r="G35"/>
          <cell r="H35"/>
          <cell r="I35"/>
        </row>
        <row r="36">
          <cell r="E36" t="str">
            <v>Slibontwatering</v>
          </cell>
          <cell r="F36" t="str">
            <v>KPI</v>
          </cell>
          <cell r="G36"/>
          <cell r="H36"/>
          <cell r="I36"/>
        </row>
        <row r="37">
          <cell r="E37" t="str">
            <v>Gasverbruik</v>
          </cell>
          <cell r="F37">
            <v>1</v>
          </cell>
          <cell r="G37" t="str">
            <v>m3</v>
          </cell>
          <cell r="H37">
            <v>1884</v>
          </cell>
          <cell r="I37" t="str">
            <v>gram CO2/m3</v>
          </cell>
        </row>
        <row r="38">
          <cell r="E38" t="str">
            <v>Brandstofverbruik - diesel</v>
          </cell>
          <cell r="F38">
            <v>1</v>
          </cell>
          <cell r="G38" t="str">
            <v>liter</v>
          </cell>
          <cell r="H38">
            <v>3262</v>
          </cell>
          <cell r="I38" t="str">
            <v>gram CO2/liter</v>
          </cell>
        </row>
        <row r="39">
          <cell r="E39" t="str">
            <v>Brandstofverbruik - benzine</v>
          </cell>
          <cell r="F39">
            <v>1</v>
          </cell>
          <cell r="G39" t="str">
            <v>liter</v>
          </cell>
          <cell r="H39">
            <v>2784</v>
          </cell>
          <cell r="I39" t="str">
            <v>gram CO2/liter</v>
          </cell>
        </row>
        <row r="40">
          <cell r="E40" t="str">
            <v>Brandstofverbruik - cng</v>
          </cell>
          <cell r="F40">
            <v>1</v>
          </cell>
          <cell r="G40" t="str">
            <v>kg</v>
          </cell>
          <cell r="H40">
            <v>2728</v>
          </cell>
          <cell r="I40" t="str">
            <v>gram CO2/kg</v>
          </cell>
        </row>
        <row r="41">
          <cell r="E41" t="str">
            <v>Verbruik elektrische auto's - kilometers</v>
          </cell>
          <cell r="F41">
            <v>1</v>
          </cell>
          <cell r="G41" t="str">
            <v>km</v>
          </cell>
          <cell r="H41">
            <v>92</v>
          </cell>
          <cell r="I41" t="str">
            <v>gram CO2/km</v>
          </cell>
        </row>
        <row r="42">
          <cell r="E42" t="str">
            <v>Verbruik hybride benzine - kilometers</v>
          </cell>
          <cell r="F42">
            <v>1</v>
          </cell>
          <cell r="G42" t="str">
            <v>km</v>
          </cell>
          <cell r="H42">
            <v>145</v>
          </cell>
          <cell r="I42" t="str">
            <v>gram CO2/km</v>
          </cell>
        </row>
        <row r="43">
          <cell r="E43" t="str">
            <v>Verbruik hybride diesel - kilometers</v>
          </cell>
          <cell r="F43">
            <v>1</v>
          </cell>
          <cell r="G43" t="str">
            <v>km</v>
          </cell>
          <cell r="H43">
            <v>209</v>
          </cell>
          <cell r="I43" t="str">
            <v>gram CO2/km</v>
          </cell>
        </row>
        <row r="44">
          <cell r="E44" t="str">
            <v>AdBlue</v>
          </cell>
          <cell r="F44">
            <v>1</v>
          </cell>
          <cell r="G44" t="str">
            <v>liter</v>
          </cell>
          <cell r="H44">
            <v>260</v>
          </cell>
          <cell r="I44" t="str">
            <v>gram CO2/liter</v>
          </cell>
        </row>
        <row r="45">
          <cell r="E45" t="str">
            <v>Biogas gespuid</v>
          </cell>
          <cell r="F45">
            <v>1</v>
          </cell>
          <cell r="G45" t="str">
            <v>liter</v>
          </cell>
          <cell r="H45">
            <v>11050</v>
          </cell>
          <cell r="I45" t="str">
            <v>gram CO2/m3</v>
          </cell>
        </row>
        <row r="46">
          <cell r="E46" t="str">
            <v>Elektriciteitsverbruik - grijze stroom</v>
          </cell>
          <cell r="F46">
            <v>2</v>
          </cell>
          <cell r="G46" t="str">
            <v>kWh</v>
          </cell>
          <cell r="H46">
            <v>556</v>
          </cell>
          <cell r="I46" t="str">
            <v>gram CO2/kWh</v>
          </cell>
        </row>
        <row r="47">
          <cell r="E47" t="str">
            <v>Elektriciteitsverbruik - groene stroom</v>
          </cell>
          <cell r="F47">
            <v>2</v>
          </cell>
          <cell r="G47" t="str">
            <v>kWh</v>
          </cell>
          <cell r="H47">
            <v>0</v>
          </cell>
          <cell r="I47" t="str">
            <v>gram CO2/kWh</v>
          </cell>
        </row>
        <row r="48">
          <cell r="E48" t="str">
            <v>Elektriciteitsverbruik - wagens</v>
          </cell>
          <cell r="F48">
            <v>2</v>
          </cell>
          <cell r="G48" t="str">
            <v>kWh</v>
          </cell>
          <cell r="H48">
            <v>556</v>
          </cell>
          <cell r="I48" t="str">
            <v>gram CO2/kWh</v>
          </cell>
        </row>
        <row r="49">
          <cell r="E49" t="str">
            <v>Warmte</v>
          </cell>
          <cell r="F49">
            <v>2</v>
          </cell>
          <cell r="G49" t="str">
            <v>GJ</v>
          </cell>
          <cell r="H49">
            <v>35970</v>
          </cell>
          <cell r="I49" t="str">
            <v>gram CO2/GJ</v>
          </cell>
        </row>
        <row r="50">
          <cell r="E50" t="str">
            <v>Zakelijk vervoer - gedeclareerde kilometers</v>
          </cell>
          <cell r="F50" t="str">
            <v>bt</v>
          </cell>
          <cell r="G50" t="str">
            <v>km</v>
          </cell>
          <cell r="H50">
            <v>195</v>
          </cell>
          <cell r="I50" t="str">
            <v>gram CO2/km</v>
          </cell>
        </row>
        <row r="51">
          <cell r="E51" t="str">
            <v>Zakelijk vervoer - openbaar vervoer</v>
          </cell>
          <cell r="F51" t="str">
            <v>bt</v>
          </cell>
          <cell r="G51" t="str">
            <v>km</v>
          </cell>
          <cell r="H51">
            <v>36</v>
          </cell>
          <cell r="I51" t="str">
            <v>gram CO2/km</v>
          </cell>
        </row>
        <row r="52">
          <cell r="E52" t="str">
            <v>Zakelijk vervoer - treinkilometers</v>
          </cell>
          <cell r="F52" t="str">
            <v>bt</v>
          </cell>
          <cell r="G52" t="str">
            <v>km</v>
          </cell>
          <cell r="H52">
            <v>6</v>
          </cell>
          <cell r="I52" t="str">
            <v>gram CO2/km</v>
          </cell>
        </row>
        <row r="53">
          <cell r="E53" t="str">
            <v>Vliegreizen &lt;700 km</v>
          </cell>
          <cell r="F53" t="str">
            <v>bt</v>
          </cell>
          <cell r="G53" t="str">
            <v>km</v>
          </cell>
          <cell r="H53">
            <v>297</v>
          </cell>
          <cell r="I53" t="str">
            <v>gram CO2/km</v>
          </cell>
        </row>
        <row r="54">
          <cell r="E54" t="str">
            <v>Vliegreizen 700-2500 km</v>
          </cell>
          <cell r="F54" t="str">
            <v>bt</v>
          </cell>
          <cell r="G54" t="str">
            <v>km</v>
          </cell>
          <cell r="H54">
            <v>200</v>
          </cell>
          <cell r="I54" t="str">
            <v>gram CO2/km</v>
          </cell>
        </row>
        <row r="55">
          <cell r="E55" t="str">
            <v>Vliegreizen &gt;2500 km</v>
          </cell>
          <cell r="F55" t="str">
            <v>bt</v>
          </cell>
          <cell r="G55" t="str">
            <v>km</v>
          </cell>
          <cell r="H55">
            <v>147</v>
          </cell>
          <cell r="I55" t="str">
            <v>gram CO2/km</v>
          </cell>
        </row>
        <row r="56">
          <cell r="E56" t="str">
            <v>Biomassa</v>
          </cell>
          <cell r="F56">
            <v>1</v>
          </cell>
          <cell r="G56" t="str">
            <v>GJ</v>
          </cell>
          <cell r="H56">
            <v>0.1096</v>
          </cell>
          <cell r="I56" t="str">
            <v>gram CO2/kg</v>
          </cell>
        </row>
        <row r="57">
          <cell r="E57" t="str">
            <v>Biogas afgefakkeld</v>
          </cell>
          <cell r="F57" t="str">
            <v>Memo</v>
          </cell>
          <cell r="G57" t="str">
            <v>m3</v>
          </cell>
          <cell r="H57">
            <v>1962</v>
          </cell>
          <cell r="I57" t="str">
            <v>gram CO2/m3</v>
          </cell>
        </row>
        <row r="58">
          <cell r="E58" t="str">
            <v>Biogas inzet WKK</v>
          </cell>
          <cell r="F58" t="str">
            <v>Memo</v>
          </cell>
          <cell r="G58" t="str">
            <v>m3</v>
          </cell>
          <cell r="H58">
            <v>1962</v>
          </cell>
          <cell r="I58" t="str">
            <v>gram CO2/m3</v>
          </cell>
        </row>
        <row r="59">
          <cell r="E59" t="str">
            <v>Gasverbruik</v>
          </cell>
          <cell r="F59">
            <v>1</v>
          </cell>
          <cell r="G59" t="str">
            <v>m3</v>
          </cell>
          <cell r="H59">
            <v>1884</v>
          </cell>
          <cell r="I59" t="str">
            <v>gram CO2/m3</v>
          </cell>
        </row>
        <row r="60">
          <cell r="E60" t="str">
            <v>Brandstofverbruik - diesel</v>
          </cell>
          <cell r="F60">
            <v>1</v>
          </cell>
          <cell r="G60" t="str">
            <v>liter</v>
          </cell>
          <cell r="H60">
            <v>3262</v>
          </cell>
          <cell r="I60" t="str">
            <v>gram CO2/liter</v>
          </cell>
        </row>
        <row r="61">
          <cell r="E61" t="str">
            <v>Brandstofverbruik - benzine</v>
          </cell>
          <cell r="F61">
            <v>1</v>
          </cell>
          <cell r="G61" t="str">
            <v>liter</v>
          </cell>
          <cell r="H61">
            <v>2784</v>
          </cell>
          <cell r="I61" t="str">
            <v>gram CO2/liter</v>
          </cell>
        </row>
        <row r="62">
          <cell r="E62" t="str">
            <v>Brandstofverbruik - cng</v>
          </cell>
          <cell r="F62">
            <v>1</v>
          </cell>
          <cell r="G62" t="str">
            <v>kg</v>
          </cell>
          <cell r="H62">
            <v>2633</v>
          </cell>
          <cell r="I62" t="str">
            <v>gram CO2/kg</v>
          </cell>
        </row>
        <row r="63">
          <cell r="E63" t="str">
            <v>Brandstofverbruik - lpg</v>
          </cell>
          <cell r="F63">
            <v>1</v>
          </cell>
          <cell r="G63" t="str">
            <v>liter</v>
          </cell>
          <cell r="H63">
            <v>1798</v>
          </cell>
          <cell r="I63" t="str">
            <v>gram CO2/liter</v>
          </cell>
        </row>
        <row r="64">
          <cell r="E64" t="str">
            <v>Verbruik elektrische auto's - kilometers</v>
          </cell>
          <cell r="F64">
            <v>1</v>
          </cell>
          <cell r="G64" t="str">
            <v>km</v>
          </cell>
          <cell r="H64">
            <v>92</v>
          </cell>
          <cell r="I64" t="str">
            <v>gram CO2/km</v>
          </cell>
        </row>
        <row r="65">
          <cell r="E65" t="str">
            <v>AdBlue</v>
          </cell>
          <cell r="F65">
            <v>1</v>
          </cell>
          <cell r="G65" t="str">
            <v>liter</v>
          </cell>
          <cell r="H65">
            <v>260</v>
          </cell>
          <cell r="I65" t="str">
            <v>gram CO2/liter</v>
          </cell>
        </row>
        <row r="66">
          <cell r="E66" t="str">
            <v>Biogas gespuid</v>
          </cell>
          <cell r="F66">
            <v>1</v>
          </cell>
          <cell r="G66" t="str">
            <v>liter</v>
          </cell>
          <cell r="H66">
            <v>11050</v>
          </cell>
          <cell r="I66" t="str">
            <v>gram CO2/m3</v>
          </cell>
        </row>
        <row r="67">
          <cell r="E67" t="str">
            <v>Elektriciteitsverbruik - grijze stroom</v>
          </cell>
          <cell r="F67">
            <v>2</v>
          </cell>
          <cell r="G67" t="str">
            <v>kWh</v>
          </cell>
          <cell r="H67">
            <v>556</v>
          </cell>
          <cell r="I67" t="str">
            <v>gram CO2/kWh</v>
          </cell>
        </row>
        <row r="68">
          <cell r="E68" t="str">
            <v>Elektriciteitsverbruik - groene stroom</v>
          </cell>
          <cell r="F68">
            <v>2</v>
          </cell>
          <cell r="G68" t="str">
            <v>kWh</v>
          </cell>
          <cell r="H68">
            <v>0</v>
          </cell>
          <cell r="I68" t="str">
            <v>gram CO2/kWh</v>
          </cell>
        </row>
        <row r="69">
          <cell r="E69" t="str">
            <v>Elektriciteitsverbruik - wagens</v>
          </cell>
          <cell r="F69">
            <v>2</v>
          </cell>
          <cell r="G69" t="str">
            <v>kWh</v>
          </cell>
          <cell r="H69">
            <v>556</v>
          </cell>
          <cell r="I69" t="str">
            <v>gram CO2/kWh</v>
          </cell>
        </row>
        <row r="70">
          <cell r="E70" t="str">
            <v>Warmte</v>
          </cell>
          <cell r="F70">
            <v>2</v>
          </cell>
          <cell r="G70" t="str">
            <v>GJ</v>
          </cell>
          <cell r="H70">
            <v>35970</v>
          </cell>
          <cell r="I70" t="str">
            <v>gram CO2/GJ</v>
          </cell>
        </row>
        <row r="71">
          <cell r="E71" t="str">
            <v>Zakelijk vervoer - gedeclareerde kilometers</v>
          </cell>
          <cell r="F71" t="str">
            <v>bt</v>
          </cell>
          <cell r="G71" t="str">
            <v>km</v>
          </cell>
          <cell r="H71">
            <v>195</v>
          </cell>
          <cell r="I71" t="str">
            <v>gram CO2/km</v>
          </cell>
        </row>
        <row r="72">
          <cell r="E72" t="str">
            <v>Zakelijk vervoer - openbaar vervoer</v>
          </cell>
          <cell r="F72" t="str">
            <v>bt</v>
          </cell>
          <cell r="G72" t="str">
            <v>km</v>
          </cell>
          <cell r="H72">
            <v>15</v>
          </cell>
          <cell r="I72" t="str">
            <v>gram CO2/km</v>
          </cell>
        </row>
        <row r="73">
          <cell r="E73" t="str">
            <v>Zakelijk vervoer - treinkilometers</v>
          </cell>
          <cell r="F73" t="str">
            <v>bt</v>
          </cell>
          <cell r="G73" t="str">
            <v>km</v>
          </cell>
          <cell r="H73">
            <v>2</v>
          </cell>
          <cell r="I73" t="str">
            <v>gram CO2/km</v>
          </cell>
        </row>
        <row r="74">
          <cell r="E74" t="str">
            <v>Vliegreizen &lt;700 km</v>
          </cell>
          <cell r="F74" t="str">
            <v>bt</v>
          </cell>
          <cell r="G74" t="str">
            <v>km</v>
          </cell>
          <cell r="H74">
            <v>297</v>
          </cell>
          <cell r="I74" t="str">
            <v>gram CO2/km</v>
          </cell>
        </row>
        <row r="75">
          <cell r="E75" t="str">
            <v>Vliegreizen 700-2500 km</v>
          </cell>
          <cell r="F75" t="str">
            <v>bt</v>
          </cell>
          <cell r="G75" t="str">
            <v>km</v>
          </cell>
          <cell r="H75">
            <v>200</v>
          </cell>
          <cell r="I75" t="str">
            <v>gram CO2/km</v>
          </cell>
        </row>
        <row r="76">
          <cell r="E76" t="str">
            <v>Vliegreizen &gt;2500 km</v>
          </cell>
          <cell r="F76" t="str">
            <v>bt</v>
          </cell>
          <cell r="G76" t="str">
            <v>km</v>
          </cell>
          <cell r="H76">
            <v>147</v>
          </cell>
          <cell r="I76" t="str">
            <v>gram CO2/km</v>
          </cell>
        </row>
        <row r="77">
          <cell r="E77" t="str">
            <v>Biomassa</v>
          </cell>
          <cell r="F77">
            <v>1</v>
          </cell>
          <cell r="G77" t="str">
            <v>GJ</v>
          </cell>
          <cell r="H77">
            <v>0.1096</v>
          </cell>
          <cell r="I77" t="str">
            <v>gram CO2/kg</v>
          </cell>
        </row>
        <row r="78">
          <cell r="E78" t="str">
            <v>Biogas afgefakkeld</v>
          </cell>
          <cell r="F78" t="str">
            <v>Memo</v>
          </cell>
          <cell r="G78" t="str">
            <v>m3</v>
          </cell>
          <cell r="H78">
            <v>1962</v>
          </cell>
          <cell r="I78" t="str">
            <v>gram CO2/m3</v>
          </cell>
        </row>
        <row r="79">
          <cell r="E79" t="str">
            <v>Biogas inzet WKK</v>
          </cell>
          <cell r="F79" t="str">
            <v>Memo</v>
          </cell>
          <cell r="G79" t="str">
            <v>m3</v>
          </cell>
          <cell r="H79">
            <v>1962</v>
          </cell>
          <cell r="I79" t="str">
            <v>gram CO2/m3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De Duurzame Adviseurs">
      <a:dk1>
        <a:sysClr val="windowText" lastClr="000000"/>
      </a:dk1>
      <a:lt1>
        <a:sysClr val="window" lastClr="FFFFFF"/>
      </a:lt1>
      <a:dk2>
        <a:srgbClr val="267E29"/>
      </a:dk2>
      <a:lt2>
        <a:srgbClr val="F2F2F2"/>
      </a:lt2>
      <a:accent1>
        <a:srgbClr val="D99694"/>
      </a:accent1>
      <a:accent2>
        <a:srgbClr val="6ABD92"/>
      </a:accent2>
      <a:accent3>
        <a:srgbClr val="4BACC6"/>
      </a:accent3>
      <a:accent4>
        <a:srgbClr val="FAC08F"/>
      </a:accent4>
      <a:accent5>
        <a:srgbClr val="C3D69B"/>
      </a:accent5>
      <a:accent6>
        <a:srgbClr val="95B3D7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48"/>
  <sheetViews>
    <sheetView topLeftCell="A2" zoomScale="80" zoomScaleNormal="80" workbookViewId="0">
      <selection activeCell="G25" sqref="G25"/>
    </sheetView>
  </sheetViews>
  <sheetFormatPr baseColWidth="10" defaultColWidth="0" defaultRowHeight="15" customHeight="1" x14ac:dyDescent="0.2"/>
  <cols>
    <col min="1" max="1" width="7.5" style="36" customWidth="1"/>
    <col min="2" max="2" width="49.5" style="36" customWidth="1"/>
    <col min="3" max="3" width="47" style="36" customWidth="1"/>
    <col min="4" max="4" width="10" style="36" customWidth="1"/>
    <col min="5" max="5" width="26" style="36" bestFit="1" customWidth="1"/>
    <col min="6" max="6" width="14.33203125" style="36" customWidth="1"/>
    <col min="7" max="7" width="8.5" style="47" customWidth="1"/>
    <col min="8" max="8" width="8.5" style="13" customWidth="1"/>
    <col min="9" max="9" width="50.33203125" style="36" bestFit="1" customWidth="1"/>
    <col min="10" max="10" width="26" style="36" customWidth="1"/>
    <col min="11" max="11" width="10" style="36" bestFit="1" customWidth="1"/>
    <col min="12" max="12" width="26" style="36" bestFit="1" customWidth="1"/>
    <col min="13" max="13" width="13.5" style="36" customWidth="1"/>
    <col min="14" max="14" width="8.5" style="36" customWidth="1"/>
    <col min="15" max="15" width="32.33203125" style="36" bestFit="1" customWidth="1"/>
    <col min="16" max="16" width="50.33203125" style="36" bestFit="1" customWidth="1"/>
    <col min="17" max="17" width="26" style="36" customWidth="1"/>
    <col min="18" max="18" width="10" style="36" bestFit="1" customWidth="1"/>
    <col min="19" max="19" width="26" style="36" bestFit="1" customWidth="1"/>
    <col min="20" max="20" width="13.5" style="36" customWidth="1"/>
    <col min="21" max="21" width="8.5" style="36" customWidth="1"/>
    <col min="22" max="31" width="0" style="36" hidden="1"/>
    <col min="32" max="33" width="12.5" style="13" customWidth="1"/>
    <col min="34" max="52" width="0" style="13" hidden="1" customWidth="1"/>
    <col min="53" max="71" width="0" style="36" hidden="1" customWidth="1"/>
    <col min="72" max="16384" width="12.5" style="36" hidden="1"/>
  </cols>
  <sheetData>
    <row r="1" spans="1:21" ht="49.5" customHeight="1" x14ac:dyDescent="0.2">
      <c r="A1" s="5"/>
      <c r="B1" s="5"/>
      <c r="C1" s="5"/>
      <c r="D1" s="5"/>
      <c r="E1" s="5"/>
      <c r="F1" s="5"/>
      <c r="G1" s="4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49.5" customHeight="1" x14ac:dyDescent="0.2">
      <c r="A2" s="5"/>
      <c r="B2" s="5"/>
      <c r="C2" s="50" t="s">
        <v>65</v>
      </c>
      <c r="D2" s="5"/>
      <c r="E2"/>
      <c r="F2" s="5"/>
      <c r="G2" s="44"/>
      <c r="I2" s="13"/>
      <c r="J2" s="13"/>
      <c r="K2" s="16"/>
      <c r="L2" s="16"/>
      <c r="M2" s="16"/>
      <c r="N2" s="5"/>
      <c r="O2" s="5"/>
      <c r="P2" s="13"/>
      <c r="Q2" s="13"/>
      <c r="R2" s="16"/>
      <c r="S2" s="16"/>
      <c r="T2" s="16"/>
      <c r="U2" s="5"/>
    </row>
    <row r="3" spans="1:21" ht="15.75" customHeight="1" x14ac:dyDescent="0.2">
      <c r="A3" s="5"/>
      <c r="B3" s="5"/>
      <c r="C3" s="5"/>
      <c r="D3" s="5"/>
      <c r="E3" s="5"/>
      <c r="F3" s="5"/>
      <c r="G3" s="44"/>
      <c r="I3" s="13"/>
      <c r="J3" s="13"/>
      <c r="K3" s="5"/>
      <c r="L3" s="5"/>
      <c r="M3" s="5"/>
      <c r="N3" s="5"/>
      <c r="O3" s="5"/>
      <c r="P3" s="13"/>
      <c r="Q3" s="13"/>
      <c r="R3" s="5"/>
      <c r="S3" s="5"/>
      <c r="T3" s="5"/>
      <c r="U3" s="5"/>
    </row>
    <row r="4" spans="1:21" ht="18" customHeight="1" x14ac:dyDescent="0.2">
      <c r="A4" s="5"/>
      <c r="B4" s="1" t="s">
        <v>33</v>
      </c>
      <c r="C4" s="6" t="s">
        <v>157</v>
      </c>
      <c r="D4" s="5"/>
      <c r="E4" s="5"/>
      <c r="F4" s="5"/>
      <c r="G4" s="44"/>
      <c r="I4" s="13"/>
      <c r="J4" s="13"/>
      <c r="K4" s="5"/>
      <c r="L4" s="5"/>
      <c r="M4" s="6"/>
      <c r="N4" s="2"/>
      <c r="O4" s="7"/>
      <c r="P4" s="13"/>
      <c r="Q4" s="13"/>
      <c r="R4" s="5"/>
      <c r="S4" s="5"/>
      <c r="T4" s="6"/>
      <c r="U4" s="2"/>
    </row>
    <row r="5" spans="1:21" ht="18" customHeight="1" x14ac:dyDescent="0.2">
      <c r="A5" s="5"/>
      <c r="B5" s="4" t="s">
        <v>32</v>
      </c>
      <c r="C5" s="178" t="s">
        <v>80</v>
      </c>
      <c r="D5" s="5"/>
      <c r="E5" s="5"/>
      <c r="F5" s="5"/>
      <c r="G5" s="44"/>
      <c r="I5" s="13"/>
      <c r="J5" s="13"/>
      <c r="K5" s="5"/>
      <c r="L5" s="5"/>
      <c r="M5" s="4"/>
      <c r="N5" s="3"/>
      <c r="O5" s="7"/>
      <c r="P5" s="13"/>
      <c r="Q5" s="13"/>
      <c r="R5" s="5"/>
      <c r="S5" s="5"/>
      <c r="T5" s="4"/>
      <c r="U5" s="3"/>
    </row>
    <row r="6" spans="1:21" ht="22.75" customHeight="1" thickBot="1" x14ac:dyDescent="0.25">
      <c r="A6" s="5"/>
      <c r="B6" s="5"/>
      <c r="C6" s="5"/>
      <c r="D6" s="5"/>
      <c r="E6" s="5"/>
      <c r="F6" s="5"/>
      <c r="G6" s="44"/>
      <c r="I6" s="5"/>
      <c r="J6" s="10"/>
      <c r="K6" s="5"/>
      <c r="L6" s="8"/>
      <c r="M6" s="8"/>
      <c r="N6" s="8"/>
      <c r="O6" s="8"/>
      <c r="P6" s="5"/>
      <c r="Q6" s="10"/>
      <c r="R6" s="5"/>
      <c r="S6" s="8"/>
      <c r="T6" s="8"/>
      <c r="U6" s="8"/>
    </row>
    <row r="7" spans="1:21" ht="20.5" customHeight="1" thickTop="1" thickBot="1" x14ac:dyDescent="0.3">
      <c r="A7" s="5"/>
      <c r="B7" s="340" t="s">
        <v>214</v>
      </c>
      <c r="C7" s="341"/>
      <c r="D7" s="13"/>
      <c r="E7" s="13"/>
      <c r="F7" s="13"/>
      <c r="G7" s="45"/>
      <c r="I7" s="338" t="s">
        <v>216</v>
      </c>
      <c r="J7" s="339"/>
      <c r="K7" s="5"/>
      <c r="L7" s="5"/>
      <c r="M7" s="5"/>
      <c r="N7" s="13"/>
      <c r="O7" s="13"/>
      <c r="P7" s="338" t="s">
        <v>218</v>
      </c>
      <c r="Q7" s="339"/>
      <c r="R7" s="5"/>
      <c r="S7" s="5"/>
      <c r="T7" s="5"/>
      <c r="U7" s="13"/>
    </row>
    <row r="8" spans="1:21" ht="15.75" customHeight="1" thickTop="1" thickBot="1" x14ac:dyDescent="0.25">
      <c r="A8" s="5"/>
      <c r="B8" s="59" t="s">
        <v>36</v>
      </c>
      <c r="C8" s="60" t="s">
        <v>37</v>
      </c>
      <c r="D8" s="13"/>
      <c r="E8" s="13"/>
      <c r="F8" s="13"/>
      <c r="G8" s="45"/>
      <c r="I8" s="59" t="s">
        <v>36</v>
      </c>
      <c r="J8" s="60" t="s">
        <v>37</v>
      </c>
      <c r="K8" s="5"/>
      <c r="L8" s="5"/>
      <c r="M8" s="5"/>
      <c r="N8" s="13"/>
      <c r="O8" s="13"/>
      <c r="P8" s="59" t="s">
        <v>36</v>
      </c>
      <c r="Q8" s="60" t="s">
        <v>37</v>
      </c>
      <c r="R8" s="5"/>
      <c r="S8" s="5"/>
      <c r="T8" s="5"/>
      <c r="U8" s="13"/>
    </row>
    <row r="9" spans="1:21" ht="15.75" customHeight="1" thickTop="1" thickBot="1" x14ac:dyDescent="0.25">
      <c r="A9" s="5"/>
      <c r="B9" s="53" t="s">
        <v>0</v>
      </c>
      <c r="C9" s="54" t="s">
        <v>157</v>
      </c>
      <c r="D9" s="13"/>
      <c r="E9" s="13"/>
      <c r="F9" s="13"/>
      <c r="G9" s="45"/>
      <c r="I9" s="53" t="s">
        <v>0</v>
      </c>
      <c r="J9" s="54" t="s">
        <v>125</v>
      </c>
      <c r="K9" s="5"/>
      <c r="L9" s="5"/>
      <c r="M9" s="5"/>
      <c r="N9" s="13"/>
      <c r="O9" s="13"/>
      <c r="P9" s="53" t="s">
        <v>0</v>
      </c>
      <c r="Q9" s="54" t="s">
        <v>127</v>
      </c>
      <c r="R9" s="5"/>
      <c r="S9" s="5"/>
      <c r="T9" s="5"/>
      <c r="U9" s="13"/>
    </row>
    <row r="10" spans="1:21" ht="15.75" customHeight="1" thickBot="1" x14ac:dyDescent="0.25">
      <c r="A10" s="5"/>
      <c r="B10" s="55" t="s">
        <v>3</v>
      </c>
      <c r="C10" s="179">
        <v>2019</v>
      </c>
      <c r="D10" s="13"/>
      <c r="E10" s="13"/>
      <c r="F10" s="13"/>
      <c r="G10" s="45"/>
      <c r="I10" s="55" t="s">
        <v>3</v>
      </c>
      <c r="J10" s="56">
        <v>2019</v>
      </c>
      <c r="K10" s="5"/>
      <c r="L10" s="5"/>
      <c r="M10" s="5"/>
      <c r="N10" s="13"/>
      <c r="O10" s="13"/>
      <c r="P10" s="55" t="s">
        <v>3</v>
      </c>
      <c r="Q10" s="56">
        <v>2019</v>
      </c>
      <c r="R10" s="5"/>
      <c r="S10" s="5"/>
      <c r="T10" s="5"/>
      <c r="U10" s="13"/>
    </row>
    <row r="11" spans="1:21" ht="15.75" customHeight="1" thickBot="1" x14ac:dyDescent="0.25">
      <c r="A11" s="5"/>
      <c r="B11" s="57" t="s">
        <v>17</v>
      </c>
      <c r="C11" s="58" t="s">
        <v>16</v>
      </c>
      <c r="D11" s="13"/>
      <c r="E11" s="13"/>
      <c r="F11" s="13"/>
      <c r="G11" s="45"/>
      <c r="I11" s="61" t="s">
        <v>17</v>
      </c>
      <c r="J11" s="62" t="s">
        <v>16</v>
      </c>
      <c r="K11" s="5"/>
      <c r="L11" s="5"/>
      <c r="M11" s="5"/>
      <c r="N11" s="13"/>
      <c r="O11" s="13"/>
      <c r="P11" s="61" t="s">
        <v>17</v>
      </c>
      <c r="Q11" s="62" t="s">
        <v>16</v>
      </c>
      <c r="R11" s="5"/>
      <c r="S11" s="5"/>
      <c r="T11" s="5"/>
      <c r="U11" s="13"/>
    </row>
    <row r="12" spans="1:21" ht="15.75" customHeight="1" thickTop="1" x14ac:dyDescent="0.2">
      <c r="A12" s="5"/>
      <c r="B12" s="13"/>
      <c r="C12" s="13"/>
      <c r="D12" s="13"/>
      <c r="E12" s="13"/>
      <c r="F12" s="13"/>
      <c r="G12" s="45"/>
      <c r="I12" s="5"/>
      <c r="J12" s="5"/>
      <c r="K12" s="5"/>
      <c r="L12" s="5"/>
      <c r="M12" s="5"/>
      <c r="N12" s="13"/>
      <c r="O12" s="13"/>
      <c r="P12" s="5"/>
      <c r="Q12" s="5"/>
      <c r="R12" s="5"/>
      <c r="S12" s="5"/>
      <c r="T12" s="5"/>
      <c r="U12" s="13"/>
    </row>
    <row r="13" spans="1:21" ht="15.75" customHeight="1" thickBot="1" x14ac:dyDescent="0.25">
      <c r="A13" s="5"/>
      <c r="B13" s="13"/>
      <c r="C13" s="13"/>
      <c r="D13" s="13"/>
      <c r="E13" s="13"/>
      <c r="F13" s="13"/>
      <c r="G13" s="45"/>
      <c r="I13" s="5"/>
      <c r="J13" s="5"/>
      <c r="K13" s="5"/>
      <c r="L13" s="5"/>
      <c r="M13" s="5"/>
      <c r="N13" s="13"/>
      <c r="O13" s="13"/>
      <c r="P13" s="5"/>
      <c r="Q13" s="5"/>
      <c r="R13" s="5"/>
      <c r="S13" s="5"/>
      <c r="T13" s="5"/>
      <c r="U13" s="13"/>
    </row>
    <row r="14" spans="1:21" ht="33.75" customHeight="1" thickTop="1" thickBot="1" x14ac:dyDescent="0.25">
      <c r="A14" s="5"/>
      <c r="B14" s="315" t="s">
        <v>215</v>
      </c>
      <c r="C14" s="316"/>
      <c r="D14" s="316"/>
      <c r="E14" s="316">
        <f>C10</f>
        <v>2019</v>
      </c>
      <c r="F14" s="317" t="str">
        <f>C11</f>
        <v>Heel jaar</v>
      </c>
      <c r="G14" s="45"/>
      <c r="I14" s="342" t="s">
        <v>217</v>
      </c>
      <c r="J14" s="343"/>
      <c r="K14" s="316"/>
      <c r="L14" s="316">
        <f>J10</f>
        <v>2019</v>
      </c>
      <c r="M14" s="317" t="str">
        <f>J11</f>
        <v>Heel jaar</v>
      </c>
      <c r="N14" s="13"/>
      <c r="O14" s="13"/>
      <c r="P14" s="342" t="s">
        <v>219</v>
      </c>
      <c r="Q14" s="343"/>
      <c r="R14" s="316"/>
      <c r="S14" s="316">
        <f>Q10</f>
        <v>2019</v>
      </c>
      <c r="T14" s="317" t="str">
        <f>Q11</f>
        <v>Heel jaar</v>
      </c>
      <c r="U14" s="13"/>
    </row>
    <row r="15" spans="1:21" ht="36" customHeight="1" thickTop="1" thickBot="1" x14ac:dyDescent="0.25">
      <c r="A15" s="5"/>
      <c r="B15" s="80" t="s">
        <v>38</v>
      </c>
      <c r="C15" s="78" t="s">
        <v>39</v>
      </c>
      <c r="D15" s="78" t="s">
        <v>40</v>
      </c>
      <c r="E15" s="79" t="s">
        <v>45</v>
      </c>
      <c r="F15" s="81" t="s">
        <v>41</v>
      </c>
      <c r="G15" s="45"/>
      <c r="I15" s="80" t="s">
        <v>38</v>
      </c>
      <c r="J15" s="78" t="s">
        <v>39</v>
      </c>
      <c r="K15" s="78" t="s">
        <v>40</v>
      </c>
      <c r="L15" s="79" t="s">
        <v>45</v>
      </c>
      <c r="M15" s="81" t="s">
        <v>41</v>
      </c>
      <c r="N15" s="13"/>
      <c r="O15" s="13"/>
      <c r="P15" s="80" t="s">
        <v>38</v>
      </c>
      <c r="Q15" s="78" t="s">
        <v>39</v>
      </c>
      <c r="R15" s="78" t="s">
        <v>40</v>
      </c>
      <c r="S15" s="79" t="s">
        <v>45</v>
      </c>
      <c r="T15" s="81" t="s">
        <v>41</v>
      </c>
      <c r="U15" s="13"/>
    </row>
    <row r="16" spans="1:21" ht="15.75" customHeight="1" thickTop="1" thickBot="1" x14ac:dyDescent="0.25">
      <c r="A16" s="5"/>
      <c r="B16" s="65" t="s">
        <v>5</v>
      </c>
      <c r="C16" s="66">
        <f>SUMIFS(Data!$H$8:$H$300,Data!$G$8:$G$300,B16,Data!$D$8:$D$300,$C$10,Data!$E$8:$E$300,$C$11)</f>
        <v>924373.02500000002</v>
      </c>
      <c r="D16" s="67" t="s">
        <v>35</v>
      </c>
      <c r="E16" s="68">
        <f>SUMIFS('Input keuzevariabelen'!$H$11:$H$80,'Input keuzevariabelen'!$E$11:$E$80,Footprints!B16,'Input keuzevariabelen'!$J$11:$J$80,Footprints!$E$14)</f>
        <v>1890</v>
      </c>
      <c r="F16" s="69">
        <f>SUMIFS(Data!$M$8:$M$300,Data!$G$8:$G$300,B16,Data!$D$8:$D$300,$C$10,Data!$E$8:$E$300,$C$11)</f>
        <v>1747.0650172500004</v>
      </c>
      <c r="G16" s="168">
        <f t="shared" ref="G16:G21" si="0">F16/$F$41</f>
        <v>7.1500141520211086E-2</v>
      </c>
      <c r="I16" s="65" t="s">
        <v>5</v>
      </c>
      <c r="J16" s="83">
        <f>SUMIFS(Data!$H$8:$H$300,Data!$G$8:$G$300,I16,Data!$D$8:$D$300,$J$10,Data!$C$8:$C$300,$J$9,Data!$E$8:$E$300,$J$11)</f>
        <v>762494</v>
      </c>
      <c r="K16" s="84" t="s">
        <v>34</v>
      </c>
      <c r="L16" s="68">
        <f>SUMIFS('Input keuzevariabelen'!$H$11:$H$80,'Input keuzevariabelen'!$E$11:$E$80,Footprints!I16,'Input keuzevariabelen'!$J$11:$J$80,Footprints!$L$14)</f>
        <v>1890</v>
      </c>
      <c r="M16" s="85">
        <f>SUMIFS(Data!$M$8:$M$300,Data!$G$8:$G$300,I16,Data!$D$8:$D$300,$J$10,Data!$C$8:$C$300,$J$9,Data!$E$8:$E$300,$J$11)</f>
        <v>1441.11366</v>
      </c>
      <c r="N16" s="93">
        <f t="shared" ref="N16:N21" si="1">M16/$M$41</f>
        <v>6.1746288710997146E-2</v>
      </c>
      <c r="O16" s="13"/>
      <c r="P16" s="65" t="s">
        <v>5</v>
      </c>
      <c r="Q16" s="83">
        <f>SUMIFS(Data!$H$8:$H$300,Data!$G$8:$G$300,P16,Data!$D$8:$D$300,$Q$10,Data!$B$8:$B$300,$Q$9,Data!$E$8:$E$300,$Q$11)</f>
        <v>850346</v>
      </c>
      <c r="R16" s="84" t="s">
        <v>34</v>
      </c>
      <c r="S16" s="68">
        <f>SUMIFS('Input keuzevariabelen'!$H$11:$H$80,'Input keuzevariabelen'!$E$11:$E$80,Footprints!P16,'Input keuzevariabelen'!$J$11:$J$80,Footprints!$L$14)</f>
        <v>1890</v>
      </c>
      <c r="T16" s="85">
        <f>SUMIFS(Data!$M$8:$M$300,Data!$G$8:$G$300,P16,Data!$D$8:$D$300,$Q$10,Data!$B$8:$B$300,$Q$9,Data!$E$8:$E$300,$Q$11)</f>
        <v>1607.1539400000001</v>
      </c>
      <c r="U16" s="93">
        <f>T16/$T$41</f>
        <v>6.6426182890764185E-2</v>
      </c>
    </row>
    <row r="17" spans="1:21" ht="15.75" customHeight="1" thickTop="1" thickBot="1" x14ac:dyDescent="0.25">
      <c r="A17" s="12"/>
      <c r="B17" s="70" t="s">
        <v>81</v>
      </c>
      <c r="C17" s="71">
        <f>SUMIFS(Data!$H$8:$H$300,Data!$G$8:$G$300,B17,Data!$D$8:$D$300,$C$10,Data!$E$8:$E$300,$C$11)</f>
        <v>43738.561999999998</v>
      </c>
      <c r="D17" s="72" t="s">
        <v>6</v>
      </c>
      <c r="E17" s="68">
        <f>SUMIFS('Input keuzevariabelen'!$H$11:$H$80,'Input keuzevariabelen'!$E$11:$E$80,Footprints!B17,'Input keuzevariabelen'!$J$11:$J$80,Footprints!$E$14)</f>
        <v>3309</v>
      </c>
      <c r="F17" s="73">
        <f>SUMIFS(Data!$M$8:$M$300,Data!$G$8:$G$300,B17,Data!$D$8:$D$300,$C$10,Data!$E$8:$E$300,$C$11)</f>
        <v>144.73090165799999</v>
      </c>
      <c r="G17" s="169">
        <f t="shared" si="0"/>
        <v>5.9232368851295817E-3</v>
      </c>
      <c r="I17" s="70" t="s">
        <v>81</v>
      </c>
      <c r="J17" s="87">
        <f>SUMIFS(Data!$H$8:$H$300,Data!$G$8:$G$300,I17,Data!$D$8:$D$300,$J$10,Data!$C$8:$C$300,$J$9,Data!$E$8:$E$300,$J$11)</f>
        <v>0</v>
      </c>
      <c r="K17" s="88" t="s">
        <v>6</v>
      </c>
      <c r="L17" s="68">
        <f>SUMIFS('Input keuzevariabelen'!$H$11:$H$80,'Input keuzevariabelen'!$E$11:$E$80,Footprints!I17,'Input keuzevariabelen'!$J$11:$J$80,Footprints!$L$14)</f>
        <v>3309</v>
      </c>
      <c r="M17" s="89">
        <f>SUMIFS(Data!$M$8:$M$300,Data!$G$8:$G$300,I17,Data!$D$8:$D$300,$J$10,Data!$C$8:$C$300,$J$9,Data!$E$8:$E$300,$J$11)</f>
        <v>0</v>
      </c>
      <c r="N17" s="94">
        <f t="shared" si="1"/>
        <v>0</v>
      </c>
      <c r="O17" s="13"/>
      <c r="P17" s="70" t="s">
        <v>81</v>
      </c>
      <c r="Q17" s="83">
        <f>SUMIFS(Data!$H$8:$H$300,Data!$G$8:$G$300,P17,Data!$D$8:$D$300,$Q$10,Data!$B$8:$B$300,$Q$9,Data!$E$8:$E$300,$Q$11)</f>
        <v>33977</v>
      </c>
      <c r="R17" s="88" t="s">
        <v>6</v>
      </c>
      <c r="S17" s="68">
        <f>SUMIFS('Input keuzevariabelen'!$H$11:$H$80,'Input keuzevariabelen'!$E$11:$E$80,Footprints!P17,'Input keuzevariabelen'!$J$11:$J$80,Footprints!$L$14)</f>
        <v>3309</v>
      </c>
      <c r="T17" s="85">
        <f>SUMIFS(Data!$M$8:$M$300,Data!$G$8:$G$300,P17,Data!$D$8:$D$300,$Q$10,Data!$B$8:$B$300,$Q$9,Data!$E$8:$E$300,$Q$11)</f>
        <v>112.42989299999999</v>
      </c>
      <c r="U17" s="93">
        <f t="shared" ref="U17:U21" si="2">T17/$T$41</f>
        <v>4.6469031055027914E-3</v>
      </c>
    </row>
    <row r="18" spans="1:21" ht="15.75" customHeight="1" thickTop="1" thickBot="1" x14ac:dyDescent="0.25">
      <c r="A18" s="5"/>
      <c r="B18" s="70" t="s">
        <v>82</v>
      </c>
      <c r="C18" s="71">
        <f>SUMIFS(Data!$H$8:$H$300,Data!$G$8:$G$300,B18,Data!$D$8:$D$300,$C$10,Data!$E$8:$E$300,$C$11)</f>
        <v>28453.702000000001</v>
      </c>
      <c r="D18" s="72" t="s">
        <v>6</v>
      </c>
      <c r="E18" s="68">
        <f>SUMIFS('Input keuzevariabelen'!$H$11:$H$80,'Input keuzevariabelen'!$E$11:$E$80,Footprints!B18,'Input keuzevariabelen'!$J$11:$J$80,Footprints!$E$14)</f>
        <v>2884</v>
      </c>
      <c r="F18" s="73">
        <f>SUMIFS(Data!$M$8:$M$300,Data!$G$8:$G$300,B18,Data!$D$8:$D$300,$C$10,Data!$E$8:$E$300,$C$11)</f>
        <v>82.060476567999999</v>
      </c>
      <c r="G18" s="169">
        <f t="shared" si="0"/>
        <v>3.3583957264873587E-3</v>
      </c>
      <c r="I18" s="70" t="s">
        <v>82</v>
      </c>
      <c r="J18" s="87">
        <f>SUMIFS(Data!$H$8:$H$300,Data!$G$8:$G$300,I18,Data!$D$8:$D$300,$J$10,Data!$C$8:$C$300,$J$9,Data!$E$8:$E$300,$J$11)</f>
        <v>0</v>
      </c>
      <c r="K18" s="88" t="s">
        <v>6</v>
      </c>
      <c r="L18" s="68">
        <f>SUMIFS('Input keuzevariabelen'!$H$11:$H$80,'Input keuzevariabelen'!$E$11:$E$80,Footprints!I18,'Input keuzevariabelen'!$J$11:$J$80,Footprints!$L$14)</f>
        <v>2884</v>
      </c>
      <c r="M18" s="89">
        <f>SUMIFS(Data!$M$8:$M$300,Data!$G$8:$G$300,I18,Data!$D$8:$D$300,$J$10,Data!$C$8:$C$300,$J$9,Data!$E$8:$E$300,$J$11)</f>
        <v>0</v>
      </c>
      <c r="N18" s="94">
        <f t="shared" si="1"/>
        <v>0</v>
      </c>
      <c r="O18" s="13"/>
      <c r="P18" s="70" t="s">
        <v>82</v>
      </c>
      <c r="Q18" s="83">
        <f>SUMIFS(Data!$H$8:$H$300,Data!$G$8:$G$300,P18,Data!$D$8:$D$300,$Q$10,Data!$B$8:$B$300,$Q$9,Data!$E$8:$E$300,$Q$11)</f>
        <v>28156</v>
      </c>
      <c r="R18" s="88" t="s">
        <v>6</v>
      </c>
      <c r="S18" s="68">
        <f>SUMIFS('Input keuzevariabelen'!$H$11:$H$80,'Input keuzevariabelen'!$E$11:$E$80,Footprints!P18,'Input keuzevariabelen'!$J$11:$J$80,Footprints!$L$14)</f>
        <v>2884</v>
      </c>
      <c r="T18" s="85">
        <f>SUMIFS(Data!$M$8:$M$300,Data!$G$8:$G$300,P18,Data!$D$8:$D$300,$Q$10,Data!$B$8:$B$300,$Q$9,Data!$E$8:$E$300,$Q$11)</f>
        <v>81.201903999999999</v>
      </c>
      <c r="U18" s="93">
        <f t="shared" si="2"/>
        <v>3.3562015385920499E-3</v>
      </c>
    </row>
    <row r="19" spans="1:21" ht="16.5" customHeight="1" thickTop="1" thickBot="1" x14ac:dyDescent="0.25">
      <c r="A19" s="213"/>
      <c r="B19" s="74" t="s">
        <v>83</v>
      </c>
      <c r="C19" s="75">
        <f>SUMIFS(Data!$H$8:$H$300,Data!$G$8:$G$300,B19,Data!$D$8:$D$300,$C$10,Data!$E$8:$E$300,$C$11)</f>
        <v>0</v>
      </c>
      <c r="D19" s="76" t="s">
        <v>106</v>
      </c>
      <c r="E19" s="68">
        <f>SUMIFS('Input keuzevariabelen'!$H$11:$H$80,'Input keuzevariabelen'!$E$11:$E$80,Footprints!B19,'Input keuzevariabelen'!$J$11:$J$80,Footprints!$E$14)</f>
        <v>2728</v>
      </c>
      <c r="F19" s="77">
        <f>SUMIFS(Data!$M$8:$M$300,Data!$G$8:$G$300,B19,Data!$D$8:$D$300,$C$10,Data!$E$8:$E$300,$C$11)</f>
        <v>0</v>
      </c>
      <c r="G19" s="170">
        <f t="shared" si="0"/>
        <v>0</v>
      </c>
      <c r="I19" s="74" t="s">
        <v>83</v>
      </c>
      <c r="J19" s="90">
        <f>SUMIFS(Data!$H$8:$H$300,Data!$G$8:$G$300,I19,Data!$D$8:$D$300,$J$10,Data!$C$8:$C$300,$J$9,Data!$E$8:$E$300,$J$11)</f>
        <v>0</v>
      </c>
      <c r="K19" s="91" t="s">
        <v>106</v>
      </c>
      <c r="L19" s="68">
        <f>SUMIFS('Input keuzevariabelen'!$H$11:$H$80,'Input keuzevariabelen'!$E$11:$E$80,Footprints!I19,'Input keuzevariabelen'!$J$11:$J$80,Footprints!$L$14)</f>
        <v>2728</v>
      </c>
      <c r="M19" s="92">
        <f>SUMIFS(Data!$M$8:$M$300,Data!$G$8:$G$300,I19,Data!$D$8:$D$300,$J$10,Data!$C$8:$C$300,$J$9,Data!$E$8:$E$300,$J$11)</f>
        <v>0</v>
      </c>
      <c r="N19" s="95">
        <f t="shared" si="1"/>
        <v>0</v>
      </c>
      <c r="O19" s="13"/>
      <c r="P19" s="74" t="s">
        <v>83</v>
      </c>
      <c r="Q19" s="83">
        <f>SUMIFS(Data!$H$8:$H$300,Data!$G$8:$G$300,P19,Data!$D$8:$D$300,$Q$10,Data!$B$8:$B$300,$Q$9,Data!$E$8:$E$300,$Q$11)</f>
        <v>0</v>
      </c>
      <c r="R19" s="91" t="s">
        <v>106</v>
      </c>
      <c r="S19" s="68">
        <f>SUMIFS('Input keuzevariabelen'!$H$11:$H$80,'Input keuzevariabelen'!$E$11:$E$80,Footprints!P19,'Input keuzevariabelen'!$J$11:$J$80,Footprints!$L$14)</f>
        <v>2728</v>
      </c>
      <c r="T19" s="85">
        <f>SUMIFS(Data!$M$8:$M$300,Data!$G$8:$G$300,P19,Data!$D$8:$D$300,$Q$10,Data!$B$8:$B$300,$Q$9,Data!$E$8:$E$300,$Q$11)</f>
        <v>0</v>
      </c>
      <c r="U19" s="93">
        <f t="shared" si="2"/>
        <v>0</v>
      </c>
    </row>
    <row r="20" spans="1:21" ht="16.5" customHeight="1" thickTop="1" thickBot="1" x14ac:dyDescent="0.25">
      <c r="A20" s="213"/>
      <c r="B20" s="74" t="s">
        <v>114</v>
      </c>
      <c r="C20" s="75">
        <f>SUMIFS(Data!$H$8:$H$300,Data!$G$8:$G$300,B20,Data!$D$8:$D$300,$C$10,Data!$E$8:$E$300,$C$11)</f>
        <v>0</v>
      </c>
      <c r="D20" s="76" t="s">
        <v>106</v>
      </c>
      <c r="E20" s="68">
        <f>SUMIFS('Input keuzevariabelen'!$H$11:$H$80,'Input keuzevariabelen'!$E$11:$E$80,Footprints!B20,'Input keuzevariabelen'!$J$11:$J$80,Footprints!$E$14)</f>
        <v>0</v>
      </c>
      <c r="F20" s="77">
        <f>SUMIFS(Data!$M$8:$M$300,Data!$G$8:$G$300,B20,Data!$D$8:$D$300,$C$10,Data!$E$8:$E$300,$C$11)</f>
        <v>0</v>
      </c>
      <c r="G20" s="170">
        <f t="shared" si="0"/>
        <v>0</v>
      </c>
      <c r="I20" s="74" t="s">
        <v>114</v>
      </c>
      <c r="J20" s="90">
        <f>SUMIFS(Data!$H$8:$H$300,Data!$G$8:$G$300,I20,Data!$D$8:$D$300,$J$10,Data!$C$8:$C$300,$J$9,Data!$E$8:$E$300,$J$11)</f>
        <v>0</v>
      </c>
      <c r="K20" s="91" t="s">
        <v>106</v>
      </c>
      <c r="L20" s="68">
        <f>SUMIFS('Input keuzevariabelen'!$H$11:$H$80,'Input keuzevariabelen'!$E$11:$E$80,Footprints!I20,'Input keuzevariabelen'!$J$11:$J$80,Footprints!$L$14)</f>
        <v>0</v>
      </c>
      <c r="M20" s="92">
        <f>SUMIFS(Data!$M$8:$M$300,Data!$G$8:$G$300,I20,Data!$D$8:$D$300,$J$10,Data!$C$8:$C$300,$J$9,Data!$E$8:$E$300,$J$11)</f>
        <v>0</v>
      </c>
      <c r="N20" s="95">
        <f t="shared" si="1"/>
        <v>0</v>
      </c>
      <c r="O20" s="13"/>
      <c r="P20" s="74" t="s">
        <v>114</v>
      </c>
      <c r="Q20" s="83">
        <f>SUMIFS(Data!$H$8:$H$300,Data!$G$8:$G$300,P20,Data!$D$8:$D$300,$Q$10,Data!$B$8:$B$300,$Q$9,Data!$E$8:$E$300,$Q$11)</f>
        <v>0</v>
      </c>
      <c r="R20" s="91" t="s">
        <v>106</v>
      </c>
      <c r="S20" s="68">
        <f>SUMIFS('Input keuzevariabelen'!$H$11:$H$80,'Input keuzevariabelen'!$E$11:$E$80,Footprints!P20,'Input keuzevariabelen'!$J$11:$J$80,Footprints!$L$14)</f>
        <v>0</v>
      </c>
      <c r="T20" s="85">
        <f>SUMIFS(Data!$M$8:$M$300,Data!$G$8:$G$300,P20,Data!$D$8:$D$300,$Q$10,Data!$B$8:$B$300,$Q$9,Data!$E$8:$E$300,$Q$11)</f>
        <v>0</v>
      </c>
      <c r="U20" s="93">
        <f t="shared" si="2"/>
        <v>0</v>
      </c>
    </row>
    <row r="21" spans="1:21" ht="16.5" customHeight="1" thickTop="1" thickBot="1" x14ac:dyDescent="0.25">
      <c r="B21" s="74" t="s">
        <v>92</v>
      </c>
      <c r="C21" s="75">
        <f>SUMIFS(Data!$H$8:$H$300,Data!$G$8:$G$300,B21,Data!$D$8:$D$300,$C$10,Data!$E$8:$E$300,$C$11)</f>
        <v>0</v>
      </c>
      <c r="D21" s="76" t="s">
        <v>6</v>
      </c>
      <c r="E21" s="68">
        <f>SUMIFS('Input keuzevariabelen'!$H$11:$H$80,'Input keuzevariabelen'!$E$11:$E$80,Footprints!B21,'Input keuzevariabelen'!$J$11:$J$80,Footprints!$E$14)</f>
        <v>11050</v>
      </c>
      <c r="F21" s="77">
        <f>SUMIFS(Data!$M$8:$M$300,Data!$G$8:$G$300,B21,Data!$D$8:$D$300,$C$10,Data!$E$8:$E$300,$C$11)</f>
        <v>0</v>
      </c>
      <c r="G21" s="170">
        <f t="shared" si="0"/>
        <v>0</v>
      </c>
      <c r="I21" s="74" t="s">
        <v>92</v>
      </c>
      <c r="J21" s="90">
        <f>SUMIFS(Data!$H$8:$H$300,Data!$G$8:$G$300,I21,Data!$D$8:$D$300,$J$10,Data!$C$8:$C$300,$J$9,Data!$E$8:$E$300,$J$11)</f>
        <v>0</v>
      </c>
      <c r="K21" s="91" t="s">
        <v>6</v>
      </c>
      <c r="L21" s="68">
        <f>SUMIFS('Input keuzevariabelen'!$H$11:$H$80,'Input keuzevariabelen'!$E$11:$E$80,Footprints!I21,'Input keuzevariabelen'!$J$11:$J$80,Footprints!$L$14)</f>
        <v>11050</v>
      </c>
      <c r="M21" s="92">
        <f>SUMIFS(Data!$M$8:$M$300,Data!$G$8:$G$300,I21,Data!$D$8:$D$300,$J$10,Data!$C$8:$C$300,$J$9,Data!$E$8:$E$300,$J$11)</f>
        <v>0</v>
      </c>
      <c r="N21" s="95">
        <f t="shared" si="1"/>
        <v>0</v>
      </c>
      <c r="O21" s="13"/>
      <c r="P21" s="74" t="s">
        <v>92</v>
      </c>
      <c r="Q21" s="83">
        <f>SUMIFS(Data!$H$8:$H$300,Data!$G$8:$G$300,P21,Data!$D$8:$D$300,$Q$10,Data!$B$8:$B$300,$Q$9,Data!$E$8:$E$300,$Q$11)</f>
        <v>0</v>
      </c>
      <c r="R21" s="91" t="s">
        <v>6</v>
      </c>
      <c r="S21" s="68">
        <f>SUMIFS('Input keuzevariabelen'!$H$11:$H$80,'Input keuzevariabelen'!$E$11:$E$80,Footprints!P21,'Input keuzevariabelen'!$J$11:$J$80,Footprints!$L$14)</f>
        <v>11050</v>
      </c>
      <c r="T21" s="85">
        <f>SUMIFS(Data!$M$8:$M$300,Data!$G$8:$G$300,P21,Data!$D$8:$D$300,$Q$10,Data!$B$8:$B$300,$Q$9,Data!$E$8:$E$300,$Q$11)</f>
        <v>0</v>
      </c>
      <c r="U21" s="93">
        <f t="shared" si="2"/>
        <v>0</v>
      </c>
    </row>
    <row r="22" spans="1:21" ht="15.75" customHeight="1" thickTop="1" thickBot="1" x14ac:dyDescent="0.25">
      <c r="B22" s="13"/>
      <c r="C22" s="13"/>
      <c r="D22" s="13"/>
      <c r="E22" s="63" t="s">
        <v>7</v>
      </c>
      <c r="F22" s="223">
        <f>SUM(F16:F21)</f>
        <v>1973.8563954760004</v>
      </c>
      <c r="G22" s="171"/>
      <c r="I22" s="13"/>
      <c r="J22" s="13"/>
      <c r="K22" s="13"/>
      <c r="L22" s="63" t="s">
        <v>7</v>
      </c>
      <c r="M22" s="64">
        <f>SUM(M16:M20)</f>
        <v>1441.11366</v>
      </c>
      <c r="N22" s="45"/>
      <c r="O22" s="13"/>
      <c r="P22" s="13"/>
      <c r="Q22" s="13"/>
      <c r="R22" s="13"/>
      <c r="S22" s="63" t="s">
        <v>7</v>
      </c>
      <c r="T22" s="223">
        <f>SUM(T16:T20)</f>
        <v>1800.7857370000002</v>
      </c>
      <c r="U22" s="45"/>
    </row>
    <row r="23" spans="1:21" ht="15.75" customHeight="1" thickTop="1" thickBot="1" x14ac:dyDescent="0.25">
      <c r="B23" s="12"/>
      <c r="C23" s="12"/>
      <c r="D23" s="12"/>
      <c r="E23" s="21"/>
      <c r="F23" s="18"/>
      <c r="G23" s="171"/>
      <c r="I23" s="12"/>
      <c r="J23" s="12"/>
      <c r="K23" s="12"/>
      <c r="L23" s="21"/>
      <c r="M23" s="18"/>
      <c r="N23" s="45"/>
      <c r="O23" s="13"/>
      <c r="P23" s="12"/>
      <c r="Q23" s="12"/>
      <c r="R23" s="12"/>
      <c r="S23" s="21"/>
      <c r="T23" s="18"/>
      <c r="U23" s="45"/>
    </row>
    <row r="24" spans="1:21" ht="36" customHeight="1" thickTop="1" thickBot="1" x14ac:dyDescent="0.25">
      <c r="B24" s="80" t="s">
        <v>42</v>
      </c>
      <c r="C24" s="78" t="s">
        <v>39</v>
      </c>
      <c r="D24" s="78" t="s">
        <v>40</v>
      </c>
      <c r="E24" s="79" t="s">
        <v>45</v>
      </c>
      <c r="F24" s="81" t="s">
        <v>41</v>
      </c>
      <c r="G24" s="171"/>
      <c r="I24" s="80" t="s">
        <v>42</v>
      </c>
      <c r="J24" s="78" t="s">
        <v>39</v>
      </c>
      <c r="K24" s="78" t="s">
        <v>40</v>
      </c>
      <c r="L24" s="79" t="s">
        <v>45</v>
      </c>
      <c r="M24" s="81" t="s">
        <v>41</v>
      </c>
      <c r="N24" s="45"/>
      <c r="O24" s="13"/>
      <c r="P24" s="80" t="s">
        <v>42</v>
      </c>
      <c r="Q24" s="78" t="s">
        <v>39</v>
      </c>
      <c r="R24" s="78" t="s">
        <v>40</v>
      </c>
      <c r="S24" s="79" t="s">
        <v>45</v>
      </c>
      <c r="T24" s="81" t="s">
        <v>41</v>
      </c>
      <c r="U24" s="45"/>
    </row>
    <row r="25" spans="1:21" ht="15.75" customHeight="1" thickTop="1" thickBot="1" x14ac:dyDescent="0.25">
      <c r="A25" s="213"/>
      <c r="B25" s="96" t="s">
        <v>29</v>
      </c>
      <c r="C25" s="97">
        <f>SUMIFS(Data!$H$8:$H$300,Data!$G$8:$G$300,B25,Data!$D$8:$D$300,$C$10,Data!$E$8:$E$300,$C$11)</f>
        <v>33834019.394000001</v>
      </c>
      <c r="D25" s="72" t="s">
        <v>9</v>
      </c>
      <c r="E25" s="68">
        <f>SUMIFS('Input keuzevariabelen'!$H$11:$H$80,'Input keuzevariabelen'!$E$11:$E$80,Footprints!B25,'Input keuzevariabelen'!$J$11:$J$80,Footprints!$E$14)</f>
        <v>649</v>
      </c>
      <c r="F25" s="73">
        <f>SUMIFS(Data!$M$8:$M$300,Data!$G$8:$G$300,B25,Data!$D$8:$D$300,$C$10,Data!$E$8:$E$300,$C$11)</f>
        <v>21958.278586705997</v>
      </c>
      <c r="G25" s="169">
        <f>F25/$F$41</f>
        <v>0.89866147566792787</v>
      </c>
      <c r="I25" s="96" t="s">
        <v>29</v>
      </c>
      <c r="J25" s="87">
        <f>SUMIFS(Data!$H$8:$H$300,Data!$G$8:$G$300,I25,Data!$D$8:$D$300,$J$10,Data!$C$8:$C$300,$J$9,Data!$E$8:$E$300,$J$11)</f>
        <v>33741390</v>
      </c>
      <c r="K25" s="88" t="s">
        <v>9</v>
      </c>
      <c r="L25" s="68">
        <f>SUMIFS('Input keuzevariabelen'!$H$11:$H$80,'Input keuzevariabelen'!$E$11:$E$80,Footprints!I25,'Input keuzevariabelen'!$J$11:$J$80,Footprints!$L$14)</f>
        <v>649</v>
      </c>
      <c r="M25" s="89">
        <f>SUMIFS(Data!$M$8:$M$300,Data!$G$8:$G$300,I25,Data!$D$8:$D$300,$J$10,Data!$C$8:$C$300,$J$9,Data!$E$8:$E$300,$J$11)</f>
        <v>21898.162109999997</v>
      </c>
      <c r="N25" s="94">
        <f>M25/$M$41</f>
        <v>0.93825371128900292</v>
      </c>
      <c r="O25" s="13"/>
      <c r="P25" s="96" t="s">
        <v>29</v>
      </c>
      <c r="Q25" s="83">
        <f>SUMIFS(Data!$H$8:$H$300,Data!$G$8:$G$300,P25,Data!$D$8:$D$300,$Q$10,Data!$B$8:$B$300,$Q$9,Data!$E$8:$E$300,$Q$11)</f>
        <v>33741390</v>
      </c>
      <c r="R25" s="88" t="s">
        <v>9</v>
      </c>
      <c r="S25" s="68">
        <f>SUMIFS('Input keuzevariabelen'!$H$11:$H$80,'Input keuzevariabelen'!$E$11:$E$80,Footprints!P25,'Input keuzevariabelen'!$J$11:$J$80,Footprints!$L$14)</f>
        <v>649</v>
      </c>
      <c r="T25" s="85">
        <f>SUMIFS(Data!$M$8:$M$300,Data!$G$8:$G$300,P25,Data!$D$8:$D$300,$Q$10,Data!$B$8:$B$300,$Q$9,Data!$E$8:$E$300,$Q$11)</f>
        <v>21898.162109999997</v>
      </c>
      <c r="U25" s="93">
        <f t="shared" ref="U25:U29" si="3">T25/$T$41</f>
        <v>0.90508524733508866</v>
      </c>
    </row>
    <row r="26" spans="1:21" ht="15.75" customHeight="1" thickTop="1" thickBot="1" x14ac:dyDescent="0.25">
      <c r="A26" s="12"/>
      <c r="B26" s="98" t="s">
        <v>28</v>
      </c>
      <c r="C26" s="99">
        <f>SUMIFS(Data!$H$8:$H$300,Data!$G$8:$G$300,B26,Data!$D$8:$D$300,$C$10,Data!$E$8:$E$300,$C$11)</f>
        <v>22405089.291999999</v>
      </c>
      <c r="D26" s="76" t="s">
        <v>9</v>
      </c>
      <c r="E26" s="68">
        <f>SUMIFS('Input keuzevariabelen'!$H$11:$H$80,'Input keuzevariabelen'!$E$11:$E$80,Footprints!B26,'Input keuzevariabelen'!$J$11:$J$80,Footprints!$E$14)</f>
        <v>0</v>
      </c>
      <c r="F26" s="77">
        <f>SUMIFS(Data!$M$8:$M$300,Data!$G$8:$G$300,B26,Data!$D$8:$D$300,$C$10,Data!$E$8:$E$300,$C$11)</f>
        <v>0</v>
      </c>
      <c r="G26" s="170">
        <f>F26/$F$41</f>
        <v>0</v>
      </c>
      <c r="I26" s="98" t="s">
        <v>28</v>
      </c>
      <c r="J26" s="90">
        <f>SUMIFS(Data!$H$8:$H$300,Data!$G$8:$G$300,I26,Data!$D$8:$D$300,$J$10,Data!$C$8:$C$300,$J$9,Data!$E$8:$E$300,$J$11)</f>
        <v>11693209</v>
      </c>
      <c r="K26" s="91" t="s">
        <v>9</v>
      </c>
      <c r="L26" s="68">
        <f>SUMIFS('Input keuzevariabelen'!$H$11:$H$80,'Input keuzevariabelen'!$E$11:$E$80,Footprints!I26,'Input keuzevariabelen'!$J$11:$J$80,Footprints!$L$14)</f>
        <v>0</v>
      </c>
      <c r="M26" s="92">
        <f>SUMIFS(Data!$M$8:$M$300,Data!$G$8:$G$300,I26,Data!$D$8:$D$300,$J$10,Data!$C$8:$C$300,$J$9,Data!$E$8:$E$300,$J$11)</f>
        <v>0</v>
      </c>
      <c r="N26" s="95">
        <f>M26/$M$41</f>
        <v>0</v>
      </c>
      <c r="O26" s="13"/>
      <c r="P26" s="98" t="s">
        <v>28</v>
      </c>
      <c r="Q26" s="83">
        <f>SUMIFS(Data!$H$8:$H$300,Data!$G$8:$G$300,P26,Data!$D$8:$D$300,$Q$10,Data!$B$8:$B$300,$Q$9,Data!$E$8:$E$300,$Q$11)</f>
        <v>17638716</v>
      </c>
      <c r="R26" s="91" t="s">
        <v>9</v>
      </c>
      <c r="S26" s="68">
        <f>SUMIFS('Input keuzevariabelen'!$H$11:$H$80,'Input keuzevariabelen'!$E$11:$E$80,Footprints!P26,'Input keuzevariabelen'!$J$11:$J$80,Footprints!$L$14)</f>
        <v>0</v>
      </c>
      <c r="T26" s="85">
        <f>SUMIFS(Data!$M$8:$M$300,Data!$G$8:$G$300,P26,Data!$D$8:$D$300,$Q$10,Data!$B$8:$B$300,$Q$9,Data!$E$8:$E$300,$Q$11)</f>
        <v>0</v>
      </c>
      <c r="U26" s="93">
        <f t="shared" si="3"/>
        <v>0</v>
      </c>
    </row>
    <row r="27" spans="1:21" ht="15.75" customHeight="1" thickTop="1" thickBot="1" x14ac:dyDescent="0.25">
      <c r="A27" s="12"/>
      <c r="B27" s="98" t="s">
        <v>97</v>
      </c>
      <c r="C27" s="99">
        <f>SUMIFS(Data!$H$8:$H$300,Data!$G$8:$G$300,B27,Data!$D$8:$D$300,$C$10,Data!$E$8:$E$300,$C$11)</f>
        <v>155.98699999999999</v>
      </c>
      <c r="D27" s="76" t="s">
        <v>9</v>
      </c>
      <c r="E27" s="68">
        <f>SUMIFS('Input keuzevariabelen'!$H$11:$H$80,'Input keuzevariabelen'!$E$11:$E$80,Footprints!B27,'Input keuzevariabelen'!$J$11:$J$80,Footprints!$E$14)</f>
        <v>649</v>
      </c>
      <c r="F27" s="77">
        <f>SUMIFS(Data!$M$8:$M$300,Data!$G$8:$G$300,B27,Data!$D$8:$D$300,$C$10,Data!$E$8:$E$300,$C$11)</f>
        <v>0.101235563</v>
      </c>
      <c r="G27" s="170">
        <f>F27/$F$41</f>
        <v>4.1431526645596235E-6</v>
      </c>
      <c r="I27" s="98" t="s">
        <v>97</v>
      </c>
      <c r="J27" s="90">
        <f>SUMIFS(Data!$H$8:$H$300,Data!$G$8:$G$300,I27,Data!$D$8:$D$300,$J$10,Data!$C$8:$C$300,$J$9,Data!$E$8:$E$300,$J$11)</f>
        <v>0</v>
      </c>
      <c r="K27" s="91" t="s">
        <v>9</v>
      </c>
      <c r="L27" s="68">
        <f>SUMIFS('Input keuzevariabelen'!$H$11:$H$80,'Input keuzevariabelen'!$E$11:$E$80,Footprints!I27,'Input keuzevariabelen'!$J$11:$J$80,Footprints!$L$14)</f>
        <v>649</v>
      </c>
      <c r="M27" s="92">
        <f>SUMIFS(Data!$M$8:$M$300,Data!$G$8:$G$300,I27,Data!$D$8:$D$300,$J$10,Data!$C$8:$C$300,$J$9,Data!$E$8:$E$300,$J$11)</f>
        <v>0</v>
      </c>
      <c r="N27" s="95">
        <f>M27/$M$41</f>
        <v>0</v>
      </c>
      <c r="O27" s="13"/>
      <c r="P27" s="98" t="s">
        <v>97</v>
      </c>
      <c r="Q27" s="83">
        <f>SUMIFS(Data!$H$8:$H$300,Data!$G$8:$G$300,P27,Data!$D$8:$D$300,$Q$10,Data!$B$8:$B$300,$Q$9,Data!$E$8:$E$300,$Q$11)</f>
        <v>143</v>
      </c>
      <c r="R27" s="91" t="s">
        <v>10</v>
      </c>
      <c r="S27" s="68">
        <f>SUMIFS('Input keuzevariabelen'!$H$11:$H$80,'Input keuzevariabelen'!$E$11:$E$80,Footprints!P27,'Input keuzevariabelen'!$J$11:$J$80,Footprints!$L$14)</f>
        <v>649</v>
      </c>
      <c r="T27" s="85">
        <f>SUMIFS(Data!$M$8:$M$300,Data!$G$8:$G$300,P27,Data!$D$8:$D$300,$Q$10,Data!$B$8:$B$300,$Q$9,Data!$E$8:$E$300,$Q$11)</f>
        <v>9.2807000000000001E-2</v>
      </c>
      <c r="U27" s="93">
        <f t="shared" si="3"/>
        <v>3.8358582847036742E-6</v>
      </c>
    </row>
    <row r="28" spans="1:21" ht="15.75" customHeight="1" thickTop="1" thickBot="1" x14ac:dyDescent="0.25">
      <c r="A28" s="12"/>
      <c r="B28" s="98" t="s">
        <v>105</v>
      </c>
      <c r="C28" s="99">
        <f>SUMIFS(Data!$H$8:$H$300,Data!$G$8:$G$300,B28,Data!$D$8:$D$300,$C$10,Data!$E$8:$E$300,$C$11)</f>
        <v>0</v>
      </c>
      <c r="D28" s="76" t="s">
        <v>10</v>
      </c>
      <c r="E28" s="68">
        <f>SUMIFS('Input keuzevariabelen'!$H$11:$H$80,'Input keuzevariabelen'!$E$11:$E$80,Footprints!B28,'Input keuzevariabelen'!$J$11:$J$80,Footprints!$E$14)</f>
        <v>107</v>
      </c>
      <c r="F28" s="77">
        <f>SUMIFS(Data!$M$8:$M$300,Data!$G$8:$G$300,B28,Data!$D$8:$D$300,$C$10,Data!$E$8:$E$300,$C$11)</f>
        <v>0</v>
      </c>
      <c r="G28" s="170">
        <f>F28/$F$41</f>
        <v>0</v>
      </c>
      <c r="I28" s="98" t="s">
        <v>105</v>
      </c>
      <c r="J28" s="90">
        <f>SUMIFS(Data!$H$8:$H$300,Data!$G$8:$G$300,I28,Data!$D$8:$D$300,$J$10,Data!$C$8:$C$300,$J$9,Data!$E$8:$E$300,$J$11)</f>
        <v>0</v>
      </c>
      <c r="K28" s="91" t="s">
        <v>10</v>
      </c>
      <c r="L28" s="68">
        <f>SUMIFS('Input keuzevariabelen'!$H$11:$H$80,'Input keuzevariabelen'!$E$11:$E$80,Footprints!I28,'Input keuzevariabelen'!$J$11:$J$80,Footprints!$L$14)</f>
        <v>107</v>
      </c>
      <c r="M28" s="92">
        <f>SUMIFS(Data!$M$8:$M$300,Data!$G$8:$G$300,I28,Data!$D$8:$D$300,$J$10,Data!$C$8:$C$300,$J$9,Data!$E$8:$E$300,$J$11)</f>
        <v>0</v>
      </c>
      <c r="N28" s="95">
        <f>M28/$M$41</f>
        <v>0</v>
      </c>
      <c r="O28" s="13"/>
      <c r="P28" s="98" t="s">
        <v>105</v>
      </c>
      <c r="Q28" s="83">
        <f>SUMIFS(Data!$H$8:$H$300,Data!$G$8:$G$300,P28,Data!$D$8:$D$300,$Q$10,Data!$B$8:$B$300,$Q$9,Data!$E$8:$E$300,$Q$11)</f>
        <v>0</v>
      </c>
      <c r="R28" s="91" t="s">
        <v>10</v>
      </c>
      <c r="S28" s="68">
        <f>SUMIFS('Input keuzevariabelen'!$H$11:$H$80,'Input keuzevariabelen'!$E$11:$E$80,Footprints!P28,'Input keuzevariabelen'!$J$11:$J$80,Footprints!$L$14)</f>
        <v>107</v>
      </c>
      <c r="T28" s="85">
        <f>SUMIFS(Data!$M$8:$M$300,Data!$G$8:$G$300,P28,Data!$D$8:$D$300,$Q$10,Data!$B$8:$B$300,$Q$9,Data!$E$8:$E$300,$Q$11)</f>
        <v>0</v>
      </c>
      <c r="U28" s="93">
        <f t="shared" si="3"/>
        <v>0</v>
      </c>
    </row>
    <row r="29" spans="1:21" ht="15.75" customHeight="1" thickTop="1" thickBot="1" x14ac:dyDescent="0.25">
      <c r="A29" s="12"/>
      <c r="B29" s="98" t="s">
        <v>102</v>
      </c>
      <c r="C29" s="99">
        <f>SUMIFS(Data!$H$8:$H$300,Data!$G$8:$G$300,B29,Data!$D$8:$D$300,$C$10,Data!$E$8:$E$300,$C$11)</f>
        <v>0</v>
      </c>
      <c r="D29" s="76" t="s">
        <v>10</v>
      </c>
      <c r="E29" s="68">
        <f>SUMIFS('Input keuzevariabelen'!$H$11:$H$80,'Input keuzevariabelen'!$E$11:$E$80,Footprints!B29,'Input keuzevariabelen'!$J$11:$J$80,Footprints!$E$14)</f>
        <v>35970</v>
      </c>
      <c r="F29" s="77">
        <f>SUMIFS(Data!$M$8:$M$300,Data!$G$8:$G$300,B29,Data!$D$8:$D$300,$C$10,Data!$E$8:$E$300,$C$11)</f>
        <v>0</v>
      </c>
      <c r="G29" s="170">
        <f>F29/$F$41</f>
        <v>0</v>
      </c>
      <c r="I29" s="98" t="s">
        <v>102</v>
      </c>
      <c r="J29" s="90">
        <f>SUMIFS(Data!$H$8:$H$300,Data!$G$8:$G$300,I29,Data!$D$8:$D$300,$J$10,Data!$C$8:$C$300,$J$9,Data!$E$8:$E$300,$J$11)</f>
        <v>0</v>
      </c>
      <c r="K29" s="91" t="s">
        <v>10</v>
      </c>
      <c r="L29" s="68">
        <f>SUMIFS('Input keuzevariabelen'!$H$11:$H$80,'Input keuzevariabelen'!$E$11:$E$80,Footprints!I29,'Input keuzevariabelen'!$J$11:$J$80,Footprints!$L$14)</f>
        <v>35970</v>
      </c>
      <c r="M29" s="92">
        <f>SUMIFS(Data!$M$8:$M$300,Data!$G$8:$G$300,I29,Data!$D$8:$D$300,$J$10,Data!$C$8:$C$300,$J$9,Data!$E$8:$E$300,$J$11)</f>
        <v>0</v>
      </c>
      <c r="N29" s="95">
        <f>M29/$M$41</f>
        <v>0</v>
      </c>
      <c r="O29" s="13"/>
      <c r="P29" s="98" t="s">
        <v>102</v>
      </c>
      <c r="Q29" s="83">
        <f>SUMIFS(Data!$H$8:$H$300,Data!$G$8:$G$300,P29,Data!$D$8:$D$300,$Q$10,Data!$B$8:$B$300,$Q$9,Data!$E$8:$E$300,$Q$11)</f>
        <v>0</v>
      </c>
      <c r="R29" s="91" t="s">
        <v>10</v>
      </c>
      <c r="S29" s="68">
        <f>SUMIFS('Input keuzevariabelen'!$H$11:$H$80,'Input keuzevariabelen'!$E$11:$E$80,Footprints!P29,'Input keuzevariabelen'!$J$11:$J$80,Footprints!$L$14)</f>
        <v>35970</v>
      </c>
      <c r="T29" s="85">
        <f>SUMIFS(Data!$M$8:$M$300,Data!$G$8:$G$300,P29,Data!$D$8:$D$300,$Q$10,Data!$B$8:$B$300,$Q$9,Data!$E$8:$E$300,$Q$11)</f>
        <v>0</v>
      </c>
      <c r="U29" s="93">
        <f t="shared" si="3"/>
        <v>0</v>
      </c>
    </row>
    <row r="30" spans="1:21" ht="15.75" customHeight="1" thickTop="1" thickBot="1" x14ac:dyDescent="0.25">
      <c r="B30" s="7"/>
      <c r="C30" s="5"/>
      <c r="D30" s="5"/>
      <c r="E30" s="51" t="s">
        <v>11</v>
      </c>
      <c r="F30" s="52">
        <f>SUM(F25:F29)</f>
        <v>21958.379822268998</v>
      </c>
      <c r="G30" s="171"/>
      <c r="I30" s="7"/>
      <c r="J30" s="5"/>
      <c r="K30" s="5"/>
      <c r="L30" s="63" t="s">
        <v>11</v>
      </c>
      <c r="M30" s="100">
        <f>SUM(M25:M29)</f>
        <v>21898.162109999997</v>
      </c>
      <c r="N30" s="45"/>
      <c r="O30" s="13"/>
      <c r="P30" s="7"/>
      <c r="Q30" s="5"/>
      <c r="R30" s="5"/>
      <c r="S30" s="63" t="s">
        <v>11</v>
      </c>
      <c r="T30" s="100">
        <f>SUM(T25:T29)</f>
        <v>21898.254916999998</v>
      </c>
      <c r="U30" s="45"/>
    </row>
    <row r="31" spans="1:21" s="13" customFormat="1" ht="15.75" customHeight="1" thickTop="1" thickBot="1" x14ac:dyDescent="0.25">
      <c r="B31" s="25"/>
      <c r="C31" s="12"/>
      <c r="D31" s="12"/>
      <c r="E31" s="26"/>
      <c r="F31" s="27"/>
      <c r="G31" s="171"/>
      <c r="I31" s="25"/>
      <c r="J31" s="12"/>
      <c r="K31" s="12"/>
      <c r="L31" s="26"/>
      <c r="M31" s="27"/>
      <c r="N31" s="45"/>
      <c r="P31" s="25"/>
      <c r="Q31" s="12"/>
      <c r="R31" s="12"/>
      <c r="S31" s="26"/>
      <c r="T31" s="27"/>
      <c r="U31" s="45"/>
    </row>
    <row r="32" spans="1:21" ht="36" customHeight="1" thickTop="1" thickBot="1" x14ac:dyDescent="0.25">
      <c r="B32" s="80" t="s">
        <v>43</v>
      </c>
      <c r="C32" s="78" t="s">
        <v>39</v>
      </c>
      <c r="D32" s="78" t="s">
        <v>40</v>
      </c>
      <c r="E32" s="79" t="s">
        <v>45</v>
      </c>
      <c r="F32" s="81" t="s">
        <v>41</v>
      </c>
      <c r="G32" s="171"/>
      <c r="I32" s="80" t="s">
        <v>43</v>
      </c>
      <c r="J32" s="78" t="s">
        <v>39</v>
      </c>
      <c r="K32" s="78" t="s">
        <v>40</v>
      </c>
      <c r="L32" s="79" t="s">
        <v>45</v>
      </c>
      <c r="M32" s="81" t="s">
        <v>41</v>
      </c>
      <c r="N32" s="45"/>
      <c r="O32" s="13"/>
      <c r="P32" s="80" t="s">
        <v>43</v>
      </c>
      <c r="Q32" s="78" t="s">
        <v>39</v>
      </c>
      <c r="R32" s="78" t="s">
        <v>40</v>
      </c>
      <c r="S32" s="79" t="s">
        <v>45</v>
      </c>
      <c r="T32" s="81" t="s">
        <v>41</v>
      </c>
      <c r="U32" s="45"/>
    </row>
    <row r="33" spans="1:21" ht="15.75" customHeight="1" thickTop="1" thickBot="1" x14ac:dyDescent="0.25">
      <c r="A33" s="5"/>
      <c r="B33" s="105" t="s">
        <v>12</v>
      </c>
      <c r="C33" s="106">
        <f>SUMIFS(Data!$H$8:$H$300,Data!$G$8:$G$300,B33,Data!$D$8:$D$300,$C$10,Data!$E$8:$E$300,$C$11)</f>
        <v>2148862.905263158</v>
      </c>
      <c r="D33" s="84" t="s">
        <v>10</v>
      </c>
      <c r="E33" s="68">
        <f>SUMIFS('Input keuzevariabelen'!$H$11:$H$80,'Input keuzevariabelen'!$E$11:$E$80,Footprints!B33,'Input keuzevariabelen'!$J$11:$J$80,Footprints!$E$14)</f>
        <v>220</v>
      </c>
      <c r="F33" s="85">
        <f>SUMIFS(Data!$M$8:$M$300,Data!$G$8:$G$300,B33,Data!$D$8:$D$300,$C$10,Data!$E$8:$E$300,$C$11)</f>
        <v>472.74983915789477</v>
      </c>
      <c r="G33" s="168">
        <f>F33/$F$41</f>
        <v>1.9347694601917365E-2</v>
      </c>
      <c r="I33" s="105" t="s">
        <v>12</v>
      </c>
      <c r="J33" s="83">
        <f>SUMIFS(Data!$H$8:$H$300,Data!$G$8:$G$300,I33,Data!$D$8:$D$300,$J$10,Data!$C$8:$C$300,$J$9,Data!$E$8:$E$300,$J$11)</f>
        <v>0</v>
      </c>
      <c r="K33" s="84" t="s">
        <v>10</v>
      </c>
      <c r="L33" s="68">
        <f>SUMIFS('Input keuzevariabelen'!$H$11:$H$80,'Input keuzevariabelen'!$E$11:$E$80,Footprints!I33,'Input keuzevariabelen'!$J$11:$J$80,Footprints!$L$14)</f>
        <v>220</v>
      </c>
      <c r="M33" s="85">
        <f>SUMIFS(Data!$M$8:$M$300,Data!$G$8:$G$300,I33,Data!$D$8:$D$300,$J$10,Data!$C$8:$C$300,$J$9,Data!$E$8:$E$300,$J$11)</f>
        <v>0</v>
      </c>
      <c r="N33" s="93">
        <f>M33/$M$41</f>
        <v>0</v>
      </c>
      <c r="O33" s="13"/>
      <c r="P33" s="105" t="s">
        <v>12</v>
      </c>
      <c r="Q33" s="83">
        <f>SUMIFS(Data!$H$8:$H$300,Data!$G$8:$G$300,P33,Data!$D$8:$D$300,$Q$10,Data!$B$8:$B$300,$Q$9,Data!$E$8:$E$300,$Q$11)</f>
        <v>2118734</v>
      </c>
      <c r="R33" s="84" t="s">
        <v>10</v>
      </c>
      <c r="S33" s="68">
        <f>SUMIFS('Input keuzevariabelen'!$H$11:$H$80,'Input keuzevariabelen'!$E$11:$E$80,Footprints!P33,'Input keuzevariabelen'!$J$11:$J$80,Footprints!$L$14)</f>
        <v>220</v>
      </c>
      <c r="T33" s="85">
        <f>SUMIFS(Data!$M$8:$M$300,Data!$G$8:$G$300,P33,Data!$D$8:$D$300,$Q$10,Data!$B$8:$B$300,$Q$9,Data!$E$8:$E$300,$Q$11)</f>
        <v>466.12148000000002</v>
      </c>
      <c r="U33" s="93">
        <f t="shared" ref="U33:U37" si="4">T33/$T$41</f>
        <v>1.9265528901228762E-2</v>
      </c>
    </row>
    <row r="34" spans="1:21" ht="15.75" customHeight="1" thickTop="1" thickBot="1" x14ac:dyDescent="0.25">
      <c r="A34" s="12"/>
      <c r="B34" s="105" t="s">
        <v>77</v>
      </c>
      <c r="C34" s="106">
        <f>SUMIFS(Data!$H$8:$H$300,Data!$G$8:$G$300,B34,Data!$D$8:$D$300,$C$10,Data!$E$8:$E$300,$C$11)</f>
        <v>508.38</v>
      </c>
      <c r="D34" s="84" t="s">
        <v>10</v>
      </c>
      <c r="E34" s="68">
        <f>SUMIFS('Input keuzevariabelen'!$H$11:$H$80,'Input keuzevariabelen'!$E$11:$E$80,Footprints!B34,'Input keuzevariabelen'!$J$11:$J$80,Footprints!$E$14)</f>
        <v>36</v>
      </c>
      <c r="F34" s="85">
        <f>SUMIFS(Data!$M$8:$M$300,Data!$G$8:$G$300,B34,Data!$D$8:$D$300,$C$10,Data!$E$8:$E$300,$C$11)</f>
        <v>1.8301680000000001E-2</v>
      </c>
      <c r="G34" s="168">
        <f t="shared" ref="G34:G37" si="5">F34/$F$41</f>
        <v>7.490120271066955E-7</v>
      </c>
      <c r="I34" s="105" t="s">
        <v>77</v>
      </c>
      <c r="J34" s="83">
        <f>SUMIFS(Data!$H$8:$H$300,Data!$G$8:$G$300,I34,Data!$D$8:$D$300,$J$10,Data!$C$8:$C$300,$J$9,Data!$E$8:$E$300,$J$11)</f>
        <v>0</v>
      </c>
      <c r="K34" s="84" t="s">
        <v>10</v>
      </c>
      <c r="L34" s="68">
        <f>SUMIFS('Input keuzevariabelen'!$H$11:$H$80,'Input keuzevariabelen'!$E$11:$E$80,Footprints!I34,'Input keuzevariabelen'!$J$11:$J$80,Footprints!$L$14)</f>
        <v>36</v>
      </c>
      <c r="M34" s="85">
        <f>SUMIFS(Data!$M$8:$M$300,Data!$G$8:$G$300,I34,Data!$D$8:$D$300,$J$10,Data!$C$8:$C$300,$J$9,Data!$E$8:$E$300,$J$11)</f>
        <v>0</v>
      </c>
      <c r="N34" s="93">
        <f t="shared" ref="N34:N37" si="6">M34/$M$41</f>
        <v>0</v>
      </c>
      <c r="O34" s="13"/>
      <c r="P34" s="105" t="s">
        <v>77</v>
      </c>
      <c r="Q34" s="83">
        <f>SUMIFS(Data!$H$8:$H$300,Data!$G$8:$G$300,P34,Data!$D$8:$D$300,$Q$10,Data!$B$8:$B$300,$Q$9,Data!$E$8:$E$300,$Q$11)</f>
        <v>0</v>
      </c>
      <c r="R34" s="84" t="s">
        <v>10</v>
      </c>
      <c r="S34" s="68">
        <f>SUMIFS('Input keuzevariabelen'!$H$11:$H$80,'Input keuzevariabelen'!$E$11:$E$80,Footprints!P34,'Input keuzevariabelen'!$J$11:$J$80,Footprints!$L$14)</f>
        <v>36</v>
      </c>
      <c r="T34" s="85">
        <f>SUMIFS(Data!$M$8:$M$300,Data!$G$8:$G$300,P34,Data!$D$8:$D$300,$Q$10,Data!$B$8:$B$300,$Q$9,Data!$E$8:$E$300,$Q$11)</f>
        <v>0</v>
      </c>
      <c r="U34" s="93">
        <f t="shared" si="4"/>
        <v>0</v>
      </c>
    </row>
    <row r="35" spans="1:21" ht="15.75" customHeight="1" thickTop="1" thickBot="1" x14ac:dyDescent="0.25">
      <c r="A35" s="12"/>
      <c r="B35" s="105" t="s">
        <v>74</v>
      </c>
      <c r="C35" s="106">
        <f>SUMIFS(Data!$H$8:$H$300,Data!$G$8:$G$300,B35,Data!$D$8:$D$300,$C$10,Data!$E$8:$E$300,$C$11)</f>
        <v>7774</v>
      </c>
      <c r="D35" s="84" t="s">
        <v>10</v>
      </c>
      <c r="E35" s="68">
        <f>SUMIFS('Input keuzevariabelen'!$H$11:$H$80,'Input keuzevariabelen'!$E$11:$E$80,Footprints!B35,'Input keuzevariabelen'!$J$11:$J$80,Footprints!$E$14)</f>
        <v>297</v>
      </c>
      <c r="F35" s="85">
        <f>SUMIFS(Data!$M$8:$M$300,Data!$G$8:$G$300,B35,Data!$D$8:$D$300,$C$10,Data!$E$8:$E$300,$C$11)</f>
        <v>2.308878</v>
      </c>
      <c r="G35" s="168">
        <f t="shared" si="5"/>
        <v>9.4492822031750791E-5</v>
      </c>
      <c r="I35" s="105" t="s">
        <v>74</v>
      </c>
      <c r="J35" s="83">
        <f>SUMIFS(Data!$H$8:$H$300,Data!$G$8:$G$300,I35,Data!$D$8:$D$300,$J$10,Data!$C$8:$C$300,$J$9,Data!$E$8:$E$300,$J$11)</f>
        <v>0</v>
      </c>
      <c r="K35" s="84" t="s">
        <v>10</v>
      </c>
      <c r="L35" s="68">
        <f>SUMIFS('Input keuzevariabelen'!$H$11:$H$80,'Input keuzevariabelen'!$E$11:$E$80,Footprints!I35,'Input keuzevariabelen'!$J$11:$J$80,Footprints!$L$14)</f>
        <v>297</v>
      </c>
      <c r="M35" s="85">
        <f>SUMIFS(Data!$M$8:$M$300,Data!$G$8:$G$300,I35,Data!$D$8:$D$300,$J$10,Data!$C$8:$C$300,$J$9,Data!$E$8:$E$300,$J$11)</f>
        <v>0</v>
      </c>
      <c r="N35" s="93">
        <f t="shared" si="6"/>
        <v>0</v>
      </c>
      <c r="O35" s="13"/>
      <c r="P35" s="105" t="s">
        <v>74</v>
      </c>
      <c r="Q35" s="83">
        <f>SUMIFS(Data!$H$8:$H$300,Data!$G$8:$G$300,P35,Data!$D$8:$D$300,$Q$10,Data!$B$8:$B$300,$Q$9,Data!$E$8:$E$300,$Q$11)</f>
        <v>7774</v>
      </c>
      <c r="R35" s="84" t="s">
        <v>10</v>
      </c>
      <c r="S35" s="68">
        <f>SUMIFS('Input keuzevariabelen'!$H$11:$H$80,'Input keuzevariabelen'!$E$11:$E$80,Footprints!P35,'Input keuzevariabelen'!$J$11:$J$80,Footprints!$L$14)</f>
        <v>297</v>
      </c>
      <c r="T35" s="85">
        <f>SUMIFS(Data!$M$8:$M$300,Data!$G$8:$G$300,P35,Data!$D$8:$D$300,$Q$10,Data!$B$8:$B$300,$Q$9,Data!$E$8:$E$300,$Q$11)</f>
        <v>2.308878</v>
      </c>
      <c r="U35" s="93">
        <f t="shared" si="4"/>
        <v>9.5429534460439932E-5</v>
      </c>
    </row>
    <row r="36" spans="1:21" ht="15.75" customHeight="1" thickTop="1" thickBot="1" x14ac:dyDescent="0.25">
      <c r="A36" s="12"/>
      <c r="B36" s="105" t="s">
        <v>75</v>
      </c>
      <c r="C36" s="106">
        <f>SUMIFS(Data!$H$8:$H$300,Data!$G$8:$G$300,B36,Data!$D$8:$D$300,$C$10,Data!$E$8:$E$300,$C$11)</f>
        <v>5786</v>
      </c>
      <c r="D36" s="84" t="s">
        <v>10</v>
      </c>
      <c r="E36" s="68">
        <f>SUMIFS('Input keuzevariabelen'!$H$11:$H$80,'Input keuzevariabelen'!$E$11:$E$80,Footprints!B36,'Input keuzevariabelen'!$J$11:$J$80,Footprints!$E$14)</f>
        <v>200</v>
      </c>
      <c r="F36" s="85">
        <f>SUMIFS(Data!$M$8:$M$300,Data!$G$8:$G$300,B36,Data!$D$8:$D$300,$C$10,Data!$E$8:$E$300,$C$11)</f>
        <v>1.1572</v>
      </c>
      <c r="G36" s="168">
        <f t="shared" si="5"/>
        <v>4.7359407320413643E-5</v>
      </c>
      <c r="I36" s="105" t="s">
        <v>75</v>
      </c>
      <c r="J36" s="83">
        <f>SUMIFS(Data!$H$8:$H$300,Data!$G$8:$G$300,I36,Data!$D$8:$D$300,$J$10,Data!$C$8:$C$300,$J$9,Data!$E$8:$E$300,$J$11)</f>
        <v>0</v>
      </c>
      <c r="K36" s="84" t="s">
        <v>10</v>
      </c>
      <c r="L36" s="68">
        <f>SUMIFS('Input keuzevariabelen'!$H$11:$H$80,'Input keuzevariabelen'!$E$11:$E$80,Footprints!I36,'Input keuzevariabelen'!$J$11:$J$80,Footprints!$L$14)</f>
        <v>200</v>
      </c>
      <c r="M36" s="85">
        <f>SUMIFS(Data!$M$8:$M$300,Data!$G$8:$G$300,I36,Data!$D$8:$D$300,$J$10,Data!$C$8:$C$300,$J$9,Data!$E$8:$E$300,$J$11)</f>
        <v>0</v>
      </c>
      <c r="N36" s="93">
        <f t="shared" si="6"/>
        <v>0</v>
      </c>
      <c r="O36" s="13"/>
      <c r="P36" s="105" t="s">
        <v>75</v>
      </c>
      <c r="Q36" s="83">
        <f>SUMIFS(Data!$H$8:$H$300,Data!$G$8:$G$300,P36,Data!$D$8:$D$300,$Q$10,Data!$B$8:$B$300,$Q$9,Data!$E$8:$E$300,$Q$11)</f>
        <v>5786</v>
      </c>
      <c r="R36" s="84" t="s">
        <v>10</v>
      </c>
      <c r="S36" s="68">
        <f>SUMIFS('Input keuzevariabelen'!$H$11:$H$80,'Input keuzevariabelen'!$E$11:$E$80,Footprints!P36,'Input keuzevariabelen'!$J$11:$J$80,Footprints!$L$14)</f>
        <v>200</v>
      </c>
      <c r="T36" s="85">
        <f>SUMIFS(Data!$M$8:$M$300,Data!$G$8:$G$300,P36,Data!$D$8:$D$300,$Q$10,Data!$B$8:$B$300,$Q$9,Data!$E$8:$E$300,$Q$11)</f>
        <v>1.1572</v>
      </c>
      <c r="U36" s="93">
        <f t="shared" si="4"/>
        <v>4.7828883673204513E-5</v>
      </c>
    </row>
    <row r="37" spans="1:21" ht="15.75" customHeight="1" thickTop="1" thickBot="1" x14ac:dyDescent="0.25">
      <c r="A37" s="12"/>
      <c r="B37" s="105" t="s">
        <v>76</v>
      </c>
      <c r="C37" s="106">
        <f>SUMIFS(Data!$H$8:$H$300,Data!$G$8:$G$300,B37,Data!$D$8:$D$300,$C$10,Data!$E$8:$E$300,$C$11)</f>
        <v>176578</v>
      </c>
      <c r="D37" s="84" t="s">
        <v>10</v>
      </c>
      <c r="E37" s="68">
        <f>SUMIFS('Input keuzevariabelen'!$H$11:$H$80,'Input keuzevariabelen'!$E$11:$E$80,Footprints!B37,'Input keuzevariabelen'!$J$11:$J$80,Footprints!$E$14)</f>
        <v>147</v>
      </c>
      <c r="F37" s="85">
        <f>SUMIFS(Data!$M$8:$M$300,Data!$G$8:$G$300,B37,Data!$D$8:$D$300,$C$10,Data!$E$8:$E$300,$C$11)</f>
        <v>25.956966000000001</v>
      </c>
      <c r="G37" s="168">
        <f t="shared" si="5"/>
        <v>1.0623112042828621E-3</v>
      </c>
      <c r="I37" s="105" t="s">
        <v>76</v>
      </c>
      <c r="J37" s="83">
        <f>SUMIFS(Data!$H$8:$H$300,Data!$G$8:$G$300,I37,Data!$D$8:$D$300,$J$10,Data!$C$8:$C$300,$J$9,Data!$E$8:$E$300,$J$11)</f>
        <v>0</v>
      </c>
      <c r="K37" s="84" t="s">
        <v>10</v>
      </c>
      <c r="L37" s="68">
        <f>SUMIFS('Input keuzevariabelen'!$H$11:$H$80,'Input keuzevariabelen'!$E$11:$E$80,Footprints!I37,'Input keuzevariabelen'!$J$11:$J$80,Footprints!$L$14)</f>
        <v>147</v>
      </c>
      <c r="M37" s="85">
        <f>SUMIFS(Data!$M$8:$M$300,Data!$G$8:$G$300,I37,Data!$D$8:$D$300,$J$10,Data!$C$8:$C$300,$J$9,Data!$E$8:$E$300,$J$11)</f>
        <v>0</v>
      </c>
      <c r="N37" s="93">
        <f t="shared" si="6"/>
        <v>0</v>
      </c>
      <c r="O37" s="13"/>
      <c r="P37" s="105" t="s">
        <v>76</v>
      </c>
      <c r="Q37" s="83">
        <f>SUMIFS(Data!$H$8:$H$300,Data!$G$8:$G$300,P37,Data!$D$8:$D$300,$Q$10,Data!$B$8:$B$300,$Q$9,Data!$E$8:$E$300,$Q$11)</f>
        <v>176578</v>
      </c>
      <c r="R37" s="84" t="s">
        <v>10</v>
      </c>
      <c r="S37" s="68">
        <f>SUMIFS('Input keuzevariabelen'!$H$11:$H$80,'Input keuzevariabelen'!$E$11:$E$80,Footprints!P37,'Input keuzevariabelen'!$J$11:$J$80,Footprints!$L$14)</f>
        <v>147</v>
      </c>
      <c r="T37" s="85">
        <f>SUMIFS(Data!$M$8:$M$300,Data!$G$8:$G$300,P37,Data!$D$8:$D$300,$Q$10,Data!$B$8:$B$300,$Q$9,Data!$E$8:$E$300,$Q$11)</f>
        <v>25.956966000000001</v>
      </c>
      <c r="U37" s="93">
        <f t="shared" si="4"/>
        <v>1.0728419524052236E-3</v>
      </c>
    </row>
    <row r="38" spans="1:21" ht="15.75" customHeight="1" x14ac:dyDescent="0.2">
      <c r="A38" s="5"/>
      <c r="B38" s="7"/>
      <c r="C38" s="5"/>
      <c r="D38" s="5"/>
      <c r="E38" s="51" t="s">
        <v>30</v>
      </c>
      <c r="F38" s="52">
        <f>SUM(F33:F37)</f>
        <v>502.19118483789475</v>
      </c>
      <c r="G38" s="45"/>
      <c r="I38" s="7"/>
      <c r="J38" s="5"/>
      <c r="K38" s="5"/>
      <c r="L38" s="51" t="s">
        <v>30</v>
      </c>
      <c r="M38" s="52">
        <f>SUM(M33:M37)</f>
        <v>0</v>
      </c>
      <c r="N38" s="13"/>
      <c r="O38" s="13"/>
      <c r="P38" s="7"/>
      <c r="Q38" s="5"/>
      <c r="R38" s="5"/>
      <c r="S38" s="51" t="s">
        <v>30</v>
      </c>
      <c r="T38" s="52">
        <f>SUM(T33:T37)</f>
        <v>495.54452400000002</v>
      </c>
      <c r="U38" s="13"/>
    </row>
    <row r="39" spans="1:21" s="13" customFormat="1" ht="15.75" customHeight="1" x14ac:dyDescent="0.2">
      <c r="A39" s="5"/>
      <c r="B39" s="25"/>
      <c r="C39" s="12"/>
      <c r="D39" s="12"/>
      <c r="E39" s="26"/>
      <c r="F39" s="27"/>
      <c r="G39" s="45"/>
      <c r="I39" s="25"/>
      <c r="J39" s="12"/>
      <c r="K39" s="12"/>
      <c r="L39" s="26"/>
      <c r="M39" s="27"/>
      <c r="P39" s="25"/>
      <c r="Q39" s="12"/>
      <c r="R39" s="12"/>
      <c r="S39" s="26"/>
      <c r="T39" s="27"/>
    </row>
    <row r="40" spans="1:21" ht="15.75" customHeight="1" thickBot="1" x14ac:dyDescent="0.25">
      <c r="A40" s="12"/>
      <c r="B40" s="7"/>
      <c r="C40" s="5"/>
      <c r="D40" s="5"/>
      <c r="E40" s="1"/>
      <c r="F40" s="40"/>
      <c r="G40" s="45"/>
      <c r="I40" s="7"/>
      <c r="J40" s="5"/>
      <c r="K40" s="5"/>
      <c r="L40" s="1"/>
      <c r="M40" s="40"/>
      <c r="N40" s="13"/>
      <c r="O40" s="13"/>
      <c r="P40" s="7"/>
      <c r="Q40" s="5"/>
      <c r="R40" s="5"/>
      <c r="S40" s="1"/>
      <c r="T40" s="40"/>
      <c r="U40" s="13"/>
    </row>
    <row r="41" spans="1:21" ht="15.75" customHeight="1" thickTop="1" thickBot="1" x14ac:dyDescent="0.25">
      <c r="A41" s="5"/>
      <c r="B41" s="344" t="s">
        <v>44</v>
      </c>
      <c r="C41" s="345"/>
      <c r="D41" s="345"/>
      <c r="E41" s="103"/>
      <c r="F41" s="104">
        <f>F22+F30+F38</f>
        <v>24434.427402582893</v>
      </c>
      <c r="G41" s="45"/>
      <c r="I41" s="344" t="s">
        <v>44</v>
      </c>
      <c r="J41" s="345"/>
      <c r="K41" s="345"/>
      <c r="L41" s="103"/>
      <c r="M41" s="104">
        <f>M22+M30+M38</f>
        <v>23339.275769999997</v>
      </c>
      <c r="N41" s="13"/>
      <c r="O41" s="13"/>
      <c r="P41" s="344" t="s">
        <v>44</v>
      </c>
      <c r="Q41" s="345"/>
      <c r="R41" s="345"/>
      <c r="S41" s="103"/>
      <c r="T41" s="104">
        <f>T22+T30+T38</f>
        <v>24194.585177999998</v>
      </c>
      <c r="U41" s="13"/>
    </row>
    <row r="42" spans="1:21" ht="15.75" customHeight="1" thickTop="1" x14ac:dyDescent="0.2">
      <c r="B42" s="13"/>
      <c r="C42" s="13"/>
      <c r="D42" s="13"/>
      <c r="E42" s="13"/>
      <c r="F42" s="12"/>
      <c r="G42" s="46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ht="15.75" customHeight="1" thickBot="1" x14ac:dyDescent="0.25">
      <c r="B43" s="13"/>
      <c r="C43" s="13"/>
      <c r="D43" s="13"/>
      <c r="E43" s="13"/>
      <c r="F43" s="12"/>
      <c r="G43" s="46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ht="32" thickTop="1" thickBot="1" x14ac:dyDescent="0.25">
      <c r="B44" s="80" t="s">
        <v>86</v>
      </c>
      <c r="C44" s="78" t="s">
        <v>39</v>
      </c>
      <c r="D44" s="78" t="s">
        <v>40</v>
      </c>
      <c r="E44" s="79" t="s">
        <v>45</v>
      </c>
      <c r="F44" s="81" t="s">
        <v>41</v>
      </c>
      <c r="G44" s="46"/>
      <c r="I44" s="80" t="s">
        <v>86</v>
      </c>
      <c r="J44" s="78" t="s">
        <v>39</v>
      </c>
      <c r="K44" s="78" t="s">
        <v>40</v>
      </c>
      <c r="L44" s="79" t="s">
        <v>45</v>
      </c>
      <c r="M44" s="81" t="s">
        <v>41</v>
      </c>
      <c r="N44" s="13"/>
      <c r="O44" s="13"/>
      <c r="P44" s="80" t="s">
        <v>86</v>
      </c>
      <c r="Q44" s="78" t="s">
        <v>39</v>
      </c>
      <c r="R44" s="78" t="s">
        <v>40</v>
      </c>
      <c r="S44" s="79" t="s">
        <v>45</v>
      </c>
      <c r="T44" s="81" t="s">
        <v>41</v>
      </c>
      <c r="U44" s="13"/>
    </row>
    <row r="45" spans="1:21" ht="15.75" customHeight="1" thickTop="1" thickBot="1" x14ac:dyDescent="0.25">
      <c r="A45" s="12"/>
      <c r="B45" s="96" t="s">
        <v>108</v>
      </c>
      <c r="C45" s="97">
        <f>SUMIFS(Data!$H$8:$H$300,Data!$G$8:$G$300,B45,Data!$D$8:$D$300,$C$10,Data!$E$8:$E$300,$C$11)</f>
        <v>8247106</v>
      </c>
      <c r="D45" s="72" t="s">
        <v>23</v>
      </c>
      <c r="E45" s="68">
        <f>SUMIFS('Input keuzevariabelen'!$H$11:$H$80,'Input keuzevariabelen'!$E$11:$E$80,Footprints!B45,'Input keuzevariabelen'!$J$11:$J$80,Footprints!$E$14)</f>
        <v>1962</v>
      </c>
      <c r="F45" s="73">
        <f>SUMIFS(Data!$M$8:$M$300,Data!$G$8:$G$300,B45,Data!$D$8:$D$300,$C$10,Data!$E$8:$E$300,$C$11)</f>
        <v>16180.821972</v>
      </c>
      <c r="G45" s="46"/>
      <c r="I45" s="96" t="s">
        <v>108</v>
      </c>
      <c r="J45" s="83">
        <f>SUMIFS(Data!$H$8:$H$300,Data!$G$8:$G$300,I45,Data!$D$8:$D$300,$J$10,Data!$C$8:$C$300,$J$9,Data!$E$8:$E$300,$J$11)</f>
        <v>8247106</v>
      </c>
      <c r="K45" s="72" t="s">
        <v>23</v>
      </c>
      <c r="L45" s="68">
        <f>SUMIFS('Input keuzevariabelen'!$H$11:$H$80,'Input keuzevariabelen'!$E$11:$E$80,Footprints!I45,'Input keuzevariabelen'!$J$11:$J$80,Footprints!$E$14)</f>
        <v>1962</v>
      </c>
      <c r="M45" s="85">
        <f>SUMIFS(Data!$M$8:$M$300,Data!$G$8:$G$300,I45,Data!$D$8:$D$300,$J$10,Data!$C$8:$C$300,$J$9,Data!$E$8:$E$300,$J$11)</f>
        <v>16180.821972</v>
      </c>
      <c r="N45" s="13"/>
      <c r="O45" s="13"/>
      <c r="P45" s="96" t="s">
        <v>108</v>
      </c>
      <c r="Q45" s="83">
        <f>SUMIFS(Data!$H$8:$H$300,Data!$G$8:$G$300,P45,Data!$D$8:$D$300,$Q$10,Data!$B$8:$B$300,$Q$9,Data!$E$8:$E$300,$Q$11)</f>
        <v>8247106</v>
      </c>
      <c r="R45" s="72" t="s">
        <v>23</v>
      </c>
      <c r="S45" s="68">
        <f>SUMIFS('Input keuzevariabelen'!$H$11:$H$80,'Input keuzevariabelen'!$E$11:$E$80,Footprints!P45,'Input keuzevariabelen'!$J$11:$J$80,Footprints!$E$14)</f>
        <v>1962</v>
      </c>
      <c r="T45" s="85">
        <f>SUMIFS(Data!$M$8:$M$300,Data!$G$8:$G$300,P45,Data!$D$8:$D$300,$Q$10,Data!$B$8:$B$300,$Q$9,Data!$E$8:$E$300,$Q$11)</f>
        <v>16180.821972</v>
      </c>
      <c r="U45" s="13"/>
    </row>
    <row r="46" spans="1:21" ht="15.75" customHeight="1" thickTop="1" thickBot="1" x14ac:dyDescent="0.25">
      <c r="A46" s="5"/>
      <c r="B46" s="98" t="s">
        <v>84</v>
      </c>
      <c r="C46" s="99">
        <f>SUMIFS(Data!$H$8:$H$300,Data!$G$8:$G$300,B46,Data!$D$8:$D$300,$C$10,Data!$E$8:$E$300,$C$11)</f>
        <v>94104</v>
      </c>
      <c r="D46" s="76" t="s">
        <v>23</v>
      </c>
      <c r="E46" s="68">
        <f>SUMIFS('Input keuzevariabelen'!$H$11:$H$80,'Input keuzevariabelen'!$E$11:$E$80,Footprints!B46,'Input keuzevariabelen'!$J$11:$J$80,Footprints!$E$14)</f>
        <v>1962</v>
      </c>
      <c r="F46" s="77">
        <f>SUMIFS(Data!$M$8:$M$300,Data!$G$8:$G$300,B46,Data!$D$8:$D$300,$C$10,Data!$E$8:$E$300,$C$11)</f>
        <v>184.632048</v>
      </c>
      <c r="G46" s="46"/>
      <c r="I46" s="98" t="s">
        <v>84</v>
      </c>
      <c r="J46" s="83">
        <f>SUMIFS(Data!$H$8:$H$300,Data!$G$8:$G$300,I46,Data!$D$8:$D$300,$J$10,Data!$C$8:$C$300,$J$9,Data!$E$8:$E$300,$J$11)</f>
        <v>94104</v>
      </c>
      <c r="K46" s="76" t="s">
        <v>23</v>
      </c>
      <c r="L46" s="68">
        <f>SUMIFS('Input keuzevariabelen'!$H$11:$H$80,'Input keuzevariabelen'!$E$11:$E$80,Footprints!I46,'Input keuzevariabelen'!$J$11:$J$80,Footprints!$E$14)</f>
        <v>1962</v>
      </c>
      <c r="M46" s="85">
        <f>SUMIFS(Data!$M$8:$M$300,Data!$G$8:$G$300,I46,Data!$D$8:$D$300,$J$10,Data!$C$8:$C$300,$J$9,Data!$E$8:$E$300,$J$11)</f>
        <v>184.632048</v>
      </c>
      <c r="N46" s="13"/>
      <c r="O46" s="13"/>
      <c r="P46" s="98" t="s">
        <v>84</v>
      </c>
      <c r="Q46" s="83">
        <f>SUMIFS(Data!$H$8:$H$300,Data!$G$8:$G$300,P46,Data!$D$8:$D$300,$Q$10,Data!$B$8:$B$300,$Q$9,Data!$E$8:$E$300,$Q$11)</f>
        <v>94104</v>
      </c>
      <c r="R46" s="76" t="s">
        <v>23</v>
      </c>
      <c r="S46" s="68">
        <f>SUMIFS('Input keuzevariabelen'!$H$11:$H$80,'Input keuzevariabelen'!$E$11:$E$80,Footprints!P46,'Input keuzevariabelen'!$J$11:$J$80,Footprints!$E$14)</f>
        <v>1962</v>
      </c>
      <c r="T46" s="85">
        <f>SUMIFS(Data!$M$8:$M$300,Data!$G$8:$G$300,P46,Data!$D$8:$D$300,$Q$10,Data!$B$8:$B$300,$Q$9,Data!$E$8:$E$300,$Q$11)</f>
        <v>184.632048</v>
      </c>
      <c r="U46" s="13"/>
    </row>
    <row r="47" spans="1:21" ht="15.75" customHeight="1" thickTop="1" x14ac:dyDescent="0.2">
      <c r="B47" s="7"/>
      <c r="C47" s="5"/>
      <c r="D47" s="5"/>
      <c r="E47" s="51" t="s">
        <v>87</v>
      </c>
      <c r="F47" s="52">
        <f>SUM(F45:F46)</f>
        <v>16365.454019999999</v>
      </c>
      <c r="G47" s="46"/>
      <c r="I47" s="7"/>
      <c r="J47" s="5"/>
      <c r="K47" s="5"/>
      <c r="L47" s="51" t="s">
        <v>87</v>
      </c>
      <c r="M47" s="52">
        <f>SUM(M45:M46)</f>
        <v>16365.454019999999</v>
      </c>
      <c r="N47" s="13"/>
      <c r="O47" s="13"/>
      <c r="P47" s="7"/>
      <c r="Q47" s="5"/>
      <c r="R47" s="5"/>
      <c r="S47" s="51" t="s">
        <v>87</v>
      </c>
      <c r="T47" s="52">
        <f>SUM(T45:T46)</f>
        <v>16365.454019999999</v>
      </c>
      <c r="U47" s="13"/>
    </row>
    <row r="48" spans="1:21" ht="15.75" customHeight="1" x14ac:dyDescent="0.2">
      <c r="B48" s="13"/>
      <c r="C48" s="13"/>
      <c r="D48" s="13"/>
      <c r="E48" s="13"/>
      <c r="F48" s="49"/>
      <c r="G48" s="4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ht="15.75" customHeight="1" x14ac:dyDescent="0.2">
      <c r="A49" s="5"/>
      <c r="B49" s="13"/>
      <c r="C49" s="13"/>
      <c r="D49" s="13"/>
      <c r="E49" s="13"/>
      <c r="F49" s="5"/>
      <c r="G49" s="4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ht="15.75" customHeight="1" x14ac:dyDescent="0.2">
      <c r="B50" s="337" t="s">
        <v>18</v>
      </c>
      <c r="C50" s="337"/>
      <c r="D50" s="337"/>
      <c r="E50" s="337"/>
      <c r="F50" s="5"/>
      <c r="G50" s="44"/>
      <c r="I50" s="337" t="s">
        <v>19</v>
      </c>
      <c r="J50" s="337"/>
      <c r="K50" s="337"/>
      <c r="L50" s="337"/>
      <c r="M50" s="13"/>
      <c r="N50" s="13"/>
      <c r="O50" s="13"/>
      <c r="P50" s="337" t="s">
        <v>119</v>
      </c>
      <c r="Q50" s="337"/>
      <c r="R50" s="337"/>
      <c r="S50" s="337"/>
      <c r="T50" s="13"/>
      <c r="U50" s="13"/>
    </row>
    <row r="51" spans="1:21" ht="15.75" customHeight="1" x14ac:dyDescent="0.2">
      <c r="B51" s="14" t="s">
        <v>4</v>
      </c>
      <c r="C51" s="15" t="s">
        <v>13</v>
      </c>
      <c r="D51" s="14" t="s">
        <v>4</v>
      </c>
      <c r="E51" s="15" t="s">
        <v>13</v>
      </c>
      <c r="F51" s="5"/>
      <c r="G51" s="44"/>
      <c r="I51" s="14" t="s">
        <v>4</v>
      </c>
      <c r="J51" s="15" t="s">
        <v>13</v>
      </c>
      <c r="K51" s="14" t="s">
        <v>4</v>
      </c>
      <c r="L51" s="15" t="s">
        <v>13</v>
      </c>
      <c r="M51" s="13"/>
      <c r="N51" s="13"/>
      <c r="O51" s="13"/>
      <c r="P51" s="14" t="s">
        <v>4</v>
      </c>
      <c r="Q51" s="15" t="s">
        <v>13</v>
      </c>
      <c r="R51" s="14" t="s">
        <v>4</v>
      </c>
      <c r="S51" s="15" t="s">
        <v>13</v>
      </c>
      <c r="T51" s="13"/>
      <c r="U51" s="13"/>
    </row>
    <row r="52" spans="1:21" ht="15.75" customHeight="1" x14ac:dyDescent="0.2">
      <c r="A52" s="5"/>
      <c r="B52" s="37" t="s">
        <v>5</v>
      </c>
      <c r="C52" s="41">
        <f>F16</f>
        <v>1747.0650172500004</v>
      </c>
      <c r="D52" s="38"/>
      <c r="E52" s="39"/>
      <c r="F52" s="5"/>
      <c r="G52" s="44"/>
      <c r="I52" s="37" t="s">
        <v>5</v>
      </c>
      <c r="J52" s="41">
        <f>M16</f>
        <v>1441.11366</v>
      </c>
      <c r="K52" s="38" t="str">
        <f t="shared" ref="K52:K57" si="7">INDEX($I$52:$I$57, MATCH(L52,$J$52:$J$57,0))</f>
        <v>Elektriciteitsverbruik</v>
      </c>
      <c r="L52" s="39">
        <f>LARGE($J$52:$J$57,1)</f>
        <v>21898.162109999997</v>
      </c>
      <c r="M52" s="13"/>
      <c r="N52" s="13"/>
      <c r="O52" s="13"/>
      <c r="P52" s="37" t="s">
        <v>5</v>
      </c>
      <c r="Q52" s="41">
        <f>T16</f>
        <v>1607.1539400000001</v>
      </c>
      <c r="R52" s="38" t="str">
        <f t="shared" ref="R52:R57" si="8">INDEX($I$52:$I$57, MATCH(S52,$J$52:$J$57,0))</f>
        <v>Elektriciteitsverbruik</v>
      </c>
      <c r="S52" s="39">
        <f>LARGE($J$52:$J$57,1)</f>
        <v>21898.162109999997</v>
      </c>
      <c r="T52" s="13"/>
      <c r="U52" s="13"/>
    </row>
    <row r="53" spans="1:21" ht="15.75" customHeight="1" x14ac:dyDescent="0.2">
      <c r="A53" s="12"/>
      <c r="B53" s="37" t="s">
        <v>88</v>
      </c>
      <c r="C53" s="41">
        <f>SUM(F17:F20)</f>
        <v>226.79137822600001</v>
      </c>
      <c r="D53" s="38"/>
      <c r="E53" s="39"/>
      <c r="F53" s="12"/>
      <c r="G53" s="46"/>
      <c r="I53" s="37" t="s">
        <v>88</v>
      </c>
      <c r="J53" s="41">
        <f>SUM(M17:M20)</f>
        <v>0</v>
      </c>
      <c r="K53" s="38" t="str">
        <f t="shared" si="7"/>
        <v>Gasverbruik</v>
      </c>
      <c r="L53" s="39">
        <f>LARGE($J$52:$J$57,2)</f>
        <v>1441.11366</v>
      </c>
      <c r="M53" s="13"/>
      <c r="N53" s="13"/>
      <c r="O53" s="13"/>
      <c r="P53" s="37" t="s">
        <v>88</v>
      </c>
      <c r="Q53" s="41">
        <f>SUM(T17:T20)</f>
        <v>193.63179700000001</v>
      </c>
      <c r="R53" s="38" t="str">
        <f t="shared" si="8"/>
        <v>Gasverbruik</v>
      </c>
      <c r="S53" s="39">
        <f>LARGE($J$52:$J$57,2)</f>
        <v>1441.11366</v>
      </c>
      <c r="T53" s="13"/>
      <c r="U53" s="13"/>
    </row>
    <row r="54" spans="1:21" ht="15.75" customHeight="1" x14ac:dyDescent="0.2">
      <c r="A54" s="5"/>
      <c r="B54" s="37" t="s">
        <v>15</v>
      </c>
      <c r="C54" s="41">
        <f>SUM(F25:F28)</f>
        <v>21958.379822268998</v>
      </c>
      <c r="D54" s="38"/>
      <c r="E54" s="39"/>
      <c r="F54" s="5"/>
      <c r="G54" s="44"/>
      <c r="I54" s="37" t="s">
        <v>15</v>
      </c>
      <c r="J54" s="41">
        <f>SUM(M25:M28)</f>
        <v>21898.162109999997</v>
      </c>
      <c r="K54" s="38" t="str">
        <f t="shared" si="7"/>
        <v>Brandstoffen</v>
      </c>
      <c r="L54" s="39">
        <f>LARGE($J$52:$J$57,3)</f>
        <v>0</v>
      </c>
      <c r="M54" s="13"/>
      <c r="N54" s="13"/>
      <c r="O54" s="13"/>
      <c r="P54" s="37" t="s">
        <v>15</v>
      </c>
      <c r="Q54" s="41">
        <f>SUM(T25:T28)</f>
        <v>21898.254916999998</v>
      </c>
      <c r="R54" s="38" t="str">
        <f t="shared" si="8"/>
        <v>Brandstoffen</v>
      </c>
      <c r="S54" s="39">
        <f>LARGE($J$52:$J$57,3)</f>
        <v>0</v>
      </c>
      <c r="T54" s="13"/>
      <c r="U54" s="13"/>
    </row>
    <row r="55" spans="1:21" ht="15.75" customHeight="1" x14ac:dyDescent="0.2">
      <c r="A55" s="12"/>
      <c r="B55" s="37" t="s">
        <v>14</v>
      </c>
      <c r="C55" s="41">
        <f>+F33+F34</f>
        <v>472.76814083789475</v>
      </c>
      <c r="D55" s="38"/>
      <c r="E55" s="39"/>
      <c r="F55" s="12"/>
      <c r="G55" s="46"/>
      <c r="I55" s="37" t="s">
        <v>14</v>
      </c>
      <c r="J55" s="41">
        <f>+M33+M34</f>
        <v>0</v>
      </c>
      <c r="K55" s="38" t="str">
        <f t="shared" si="7"/>
        <v>Brandstoffen</v>
      </c>
      <c r="L55" s="39">
        <f>LARGE($J$52:$J$57,4)</f>
        <v>0</v>
      </c>
      <c r="M55" s="13"/>
      <c r="N55" s="13"/>
      <c r="O55" s="13"/>
      <c r="P55" s="37" t="s">
        <v>14</v>
      </c>
      <c r="Q55" s="41">
        <f>+T33+T34</f>
        <v>466.12148000000002</v>
      </c>
      <c r="R55" s="38" t="str">
        <f t="shared" si="8"/>
        <v>Brandstoffen</v>
      </c>
      <c r="S55" s="39">
        <f>LARGE($J$52:$J$57,4)</f>
        <v>0</v>
      </c>
      <c r="T55" s="13"/>
      <c r="U55" s="13"/>
    </row>
    <row r="56" spans="1:21" ht="15.75" customHeight="1" x14ac:dyDescent="0.2">
      <c r="A56" s="5"/>
      <c r="B56" s="37" t="s">
        <v>8</v>
      </c>
      <c r="C56" s="42">
        <f>SUM(F35:F37)</f>
        <v>29.423044000000001</v>
      </c>
      <c r="D56" s="38"/>
      <c r="E56" s="39"/>
      <c r="F56" s="5"/>
      <c r="G56" s="44"/>
      <c r="I56" s="37" t="s">
        <v>102</v>
      </c>
      <c r="J56" s="42">
        <f>M29</f>
        <v>0</v>
      </c>
      <c r="K56" s="38" t="str">
        <f t="shared" si="7"/>
        <v>Brandstoffen</v>
      </c>
      <c r="L56" s="39">
        <f>LARGE($J$52:$J$57,5)</f>
        <v>0</v>
      </c>
      <c r="M56" s="13"/>
      <c r="N56" s="13"/>
      <c r="O56" s="13"/>
      <c r="P56" s="37" t="s">
        <v>102</v>
      </c>
      <c r="Q56" s="42">
        <f>T29</f>
        <v>0</v>
      </c>
      <c r="R56" s="38" t="str">
        <f t="shared" si="8"/>
        <v>Brandstoffen</v>
      </c>
      <c r="S56" s="39">
        <f>LARGE($J$52:$J$57,5)</f>
        <v>0</v>
      </c>
      <c r="T56" s="13"/>
      <c r="U56" s="13"/>
    </row>
    <row r="57" spans="1:21" ht="15.75" customHeight="1" x14ac:dyDescent="0.2">
      <c r="A57" s="5"/>
      <c r="B57" s="37" t="s">
        <v>102</v>
      </c>
      <c r="C57" s="42">
        <f>F29</f>
        <v>0</v>
      </c>
      <c r="D57" s="38"/>
      <c r="E57" s="39"/>
      <c r="F57" s="5"/>
      <c r="G57" s="44"/>
      <c r="I57" s="37" t="s">
        <v>8</v>
      </c>
      <c r="J57" s="42">
        <f>SUM(M35:M37)</f>
        <v>0</v>
      </c>
      <c r="K57" s="38" t="str">
        <f t="shared" si="7"/>
        <v>Brandstoffen</v>
      </c>
      <c r="L57" s="39">
        <f>LARGE($J$52:$J$57,5)</f>
        <v>0</v>
      </c>
      <c r="M57" s="13"/>
      <c r="N57" s="13"/>
      <c r="O57" s="13"/>
      <c r="P57" s="37" t="s">
        <v>8</v>
      </c>
      <c r="Q57" s="42">
        <f>SUM(T35:T37)</f>
        <v>29.423044000000001</v>
      </c>
      <c r="R57" s="38" t="str">
        <f t="shared" si="8"/>
        <v>Brandstoffen</v>
      </c>
      <c r="S57" s="39">
        <f>LARGE($J$52:$J$57,5)</f>
        <v>0</v>
      </c>
      <c r="T57" s="13"/>
      <c r="U57" s="13"/>
    </row>
    <row r="58" spans="1:21" ht="15.75" customHeight="1" x14ac:dyDescent="0.2">
      <c r="A58" s="5"/>
      <c r="B58" s="13"/>
      <c r="C58" s="13"/>
      <c r="D58" s="13"/>
      <c r="E58" s="13"/>
      <c r="F58" s="5"/>
      <c r="G58" s="4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ht="15.75" customHeight="1" x14ac:dyDescent="0.2">
      <c r="A59" s="12"/>
      <c r="B59" s="13"/>
      <c r="C59" s="13"/>
      <c r="D59" s="13"/>
      <c r="E59" s="13"/>
      <c r="F59" s="12"/>
      <c r="G59" s="46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15.75" customHeight="1" x14ac:dyDescent="0.2">
      <c r="A60" s="12"/>
      <c r="B60" s="13"/>
      <c r="C60" s="13"/>
      <c r="D60" s="13"/>
      <c r="E60" s="13"/>
      <c r="F60" s="12"/>
      <c r="G60" s="46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ht="15.75" customHeight="1" x14ac:dyDescent="0.2">
      <c r="A61" s="12"/>
      <c r="B61" s="13"/>
      <c r="C61" s="13"/>
      <c r="D61" s="13"/>
      <c r="E61" s="13"/>
      <c r="F61" s="12"/>
      <c r="G61" s="46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ht="15.75" customHeight="1" x14ac:dyDescent="0.2">
      <c r="A62" s="12"/>
      <c r="B62" s="13"/>
      <c r="C62" s="13"/>
      <c r="D62" s="13"/>
      <c r="E62" s="13"/>
      <c r="F62" s="12"/>
      <c r="G62" s="46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ht="15.75" customHeight="1" x14ac:dyDescent="0.2">
      <c r="A63" s="12"/>
      <c r="B63" s="13"/>
      <c r="C63" s="13"/>
      <c r="D63" s="13"/>
      <c r="E63" s="13"/>
      <c r="F63" s="12"/>
      <c r="G63" s="46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ht="15.75" customHeight="1" x14ac:dyDescent="0.2">
      <c r="A64" s="12"/>
      <c r="B64" s="13"/>
      <c r="C64" s="13"/>
      <c r="D64" s="13"/>
      <c r="E64" s="13"/>
      <c r="F64" s="12"/>
      <c r="G64" s="46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ht="15.75" customHeight="1" x14ac:dyDescent="0.2">
      <c r="A65" s="12"/>
      <c r="B65" s="13"/>
      <c r="C65" s="13"/>
      <c r="D65" s="13"/>
      <c r="E65" s="13"/>
      <c r="F65" s="12"/>
      <c r="G65" s="46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ht="15.75" customHeight="1" x14ac:dyDescent="0.2">
      <c r="A66" s="5"/>
      <c r="B66" s="13"/>
      <c r="C66" s="13"/>
      <c r="D66" s="13"/>
      <c r="E66" s="13"/>
      <c r="F66" s="5"/>
      <c r="G66" s="4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ht="15.75" customHeight="1" x14ac:dyDescent="0.2">
      <c r="A67" s="5"/>
      <c r="B67" s="13"/>
      <c r="C67" s="13"/>
      <c r="D67" s="13"/>
      <c r="E67" s="13"/>
      <c r="F67" s="5"/>
      <c r="G67" s="4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ht="15.75" customHeight="1" x14ac:dyDescent="0.2">
      <c r="A68" s="5"/>
      <c r="B68" s="13"/>
      <c r="C68" s="13"/>
      <c r="D68" s="13"/>
      <c r="E68" s="13"/>
      <c r="F68" s="5"/>
      <c r="G68" s="4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ht="15.75" customHeight="1" x14ac:dyDescent="0.2">
      <c r="A69" s="5"/>
      <c r="B69" s="13"/>
      <c r="C69" s="13"/>
      <c r="D69" s="13"/>
      <c r="E69" s="13"/>
      <c r="F69" s="5"/>
      <c r="G69" s="4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ht="15.75" customHeight="1" x14ac:dyDescent="0.2">
      <c r="A70" s="5"/>
      <c r="B70" s="13"/>
      <c r="C70" s="13"/>
      <c r="D70" s="13"/>
      <c r="E70" s="13"/>
      <c r="F70" s="5"/>
      <c r="G70" s="4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ht="15.75" customHeight="1" x14ac:dyDescent="0.2">
      <c r="A71" s="5"/>
      <c r="B71" s="13"/>
      <c r="C71" s="13"/>
      <c r="D71" s="13"/>
      <c r="E71" s="13"/>
      <c r="F71" s="5"/>
      <c r="G71" s="44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ht="15.75" customHeight="1" x14ac:dyDescent="0.2">
      <c r="A72" s="5"/>
      <c r="B72" s="13"/>
      <c r="C72" s="13"/>
      <c r="D72" s="13"/>
      <c r="E72" s="13"/>
      <c r="F72" s="5"/>
      <c r="G72" s="4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ht="15.75" customHeight="1" x14ac:dyDescent="0.2">
      <c r="A73" s="5"/>
      <c r="B73" s="13"/>
      <c r="C73" s="13"/>
      <c r="D73" s="13"/>
      <c r="E73" s="13"/>
      <c r="F73" s="5"/>
      <c r="G73" s="4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ht="15.75" customHeight="1" x14ac:dyDescent="0.2">
      <c r="A74" s="5"/>
      <c r="B74" s="13"/>
      <c r="C74" s="13"/>
      <c r="D74" s="13"/>
      <c r="E74" s="13"/>
      <c r="F74" s="5"/>
      <c r="G74" s="4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ht="15.75" customHeight="1" x14ac:dyDescent="0.2">
      <c r="A75" s="5"/>
      <c r="B75" s="13"/>
      <c r="C75" s="13"/>
      <c r="D75" s="13"/>
      <c r="E75" s="13"/>
      <c r="F75" s="5"/>
      <c r="G75" s="4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ht="15.75" customHeight="1" x14ac:dyDescent="0.2">
      <c r="A76" s="5"/>
      <c r="B76" s="13"/>
      <c r="C76" s="13"/>
      <c r="D76" s="13"/>
      <c r="E76" s="13"/>
      <c r="F76" s="5"/>
      <c r="G76" s="4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ht="15.75" customHeight="1" x14ac:dyDescent="0.2">
      <c r="A77" s="5"/>
      <c r="B77" s="13"/>
      <c r="C77" s="13"/>
      <c r="D77" s="13"/>
      <c r="E77" s="13"/>
      <c r="F77" s="5"/>
      <c r="G77" s="44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ht="15.75" customHeight="1" x14ac:dyDescent="0.2">
      <c r="A78" s="5"/>
      <c r="B78" s="13"/>
      <c r="C78" s="13"/>
      <c r="D78" s="13"/>
      <c r="E78" s="13"/>
      <c r="F78" s="5"/>
      <c r="G78" s="4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ht="15.75" customHeight="1" x14ac:dyDescent="0.2">
      <c r="A79" s="5"/>
      <c r="B79" s="13"/>
      <c r="C79" s="13"/>
      <c r="D79" s="13"/>
      <c r="E79" s="13"/>
      <c r="F79" s="5"/>
      <c r="G79" s="4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ht="15.75" customHeight="1" x14ac:dyDescent="0.2">
      <c r="A80" s="5"/>
      <c r="B80" s="13"/>
      <c r="C80" s="13"/>
      <c r="D80" s="13"/>
      <c r="E80" s="13"/>
      <c r="F80" s="5"/>
      <c r="G80" s="4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ht="15.75" customHeight="1" x14ac:dyDescent="0.2">
      <c r="A81" s="5"/>
      <c r="B81" s="13"/>
      <c r="C81" s="13"/>
      <c r="D81" s="13"/>
      <c r="E81" s="13"/>
      <c r="F81" s="5"/>
      <c r="G81" s="44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ht="15.75" customHeight="1" x14ac:dyDescent="0.2">
      <c r="A82" s="5"/>
      <c r="B82" s="13"/>
      <c r="C82" s="13"/>
      <c r="D82" s="13"/>
      <c r="E82" s="13"/>
      <c r="F82" s="5"/>
      <c r="G82" s="4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ht="15.75" customHeight="1" x14ac:dyDescent="0.2">
      <c r="A83" s="5"/>
      <c r="B83" s="13"/>
      <c r="C83" s="13"/>
      <c r="D83" s="13"/>
      <c r="E83" s="13"/>
      <c r="F83" s="5"/>
      <c r="G83" s="44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ht="15.75" customHeight="1" x14ac:dyDescent="0.2">
      <c r="A84" s="5"/>
      <c r="B84" s="13"/>
      <c r="C84" s="13"/>
      <c r="D84" s="13"/>
      <c r="E84" s="13"/>
      <c r="F84" s="5"/>
      <c r="G84" s="44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ht="15.75" customHeight="1" x14ac:dyDescent="0.2">
      <c r="A85" s="5"/>
      <c r="B85" s="13"/>
      <c r="C85" s="13"/>
      <c r="D85" s="13"/>
      <c r="E85" s="13"/>
      <c r="F85" s="5"/>
      <c r="G85" s="44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ht="15.75" customHeight="1" x14ac:dyDescent="0.2">
      <c r="A86" s="5"/>
      <c r="B86" s="13"/>
      <c r="C86" s="13"/>
      <c r="D86" s="13"/>
      <c r="E86" s="13"/>
      <c r="F86" s="5"/>
      <c r="G86" s="44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ht="15.75" customHeight="1" x14ac:dyDescent="0.2">
      <c r="A87" s="5"/>
      <c r="B87" s="13"/>
      <c r="C87" s="13"/>
      <c r="D87" s="13"/>
      <c r="E87" s="13"/>
      <c r="F87" s="5"/>
      <c r="G87" s="44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ht="15.75" customHeight="1" x14ac:dyDescent="0.2">
      <c r="A88" s="5"/>
      <c r="B88" s="13"/>
      <c r="C88" s="13"/>
      <c r="D88" s="13"/>
      <c r="E88" s="13"/>
      <c r="F88" s="5"/>
      <c r="G88" s="4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ht="15.75" customHeight="1" x14ac:dyDescent="0.2">
      <c r="A89" s="5"/>
      <c r="B89" s="13"/>
      <c r="C89" s="13"/>
      <c r="D89" s="13"/>
      <c r="E89" s="13"/>
      <c r="F89" s="5"/>
      <c r="G89" s="4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ht="15.75" customHeight="1" x14ac:dyDescent="0.2">
      <c r="A90" s="12"/>
      <c r="B90" s="13"/>
      <c r="C90" s="13"/>
      <c r="D90" s="13"/>
      <c r="E90" s="13"/>
      <c r="F90" s="12"/>
      <c r="G90" s="46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ht="15.75" customHeight="1" x14ac:dyDescent="0.2">
      <c r="A91" s="12"/>
      <c r="B91" s="13"/>
      <c r="C91" s="13"/>
      <c r="D91" s="13"/>
      <c r="E91" s="13"/>
      <c r="F91" s="12"/>
      <c r="G91" s="46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ht="15.75" customHeight="1" x14ac:dyDescent="0.2">
      <c r="A92" s="5"/>
      <c r="B92" s="13"/>
      <c r="C92" s="13"/>
      <c r="D92" s="13"/>
      <c r="E92" s="13"/>
      <c r="F92" s="5"/>
      <c r="G92" s="44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ht="15.75" customHeight="1" x14ac:dyDescent="0.2">
      <c r="A93" s="5"/>
      <c r="B93" s="13"/>
      <c r="C93" s="13"/>
      <c r="D93" s="13"/>
      <c r="E93" s="13"/>
      <c r="F93" s="5"/>
      <c r="G93" s="44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ht="15.75" customHeight="1" x14ac:dyDescent="0.2">
      <c r="A94" s="5"/>
      <c r="B94" s="13"/>
      <c r="C94" s="13"/>
      <c r="D94" s="13"/>
      <c r="E94" s="13"/>
      <c r="F94" s="5"/>
      <c r="G94" s="44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ht="15.75" customHeight="1" x14ac:dyDescent="0.2">
      <c r="A95" s="5"/>
      <c r="B95" s="13"/>
      <c r="C95" s="13"/>
      <c r="D95" s="13"/>
      <c r="E95" s="13"/>
      <c r="F95" s="5"/>
      <c r="G95" s="44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ht="15.75" customHeight="1" x14ac:dyDescent="0.2">
      <c r="A96" s="5"/>
      <c r="B96" s="13"/>
      <c r="C96" s="13"/>
      <c r="D96" s="13"/>
      <c r="E96" s="13"/>
      <c r="F96" s="5"/>
      <c r="G96" s="44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ht="15.75" customHeight="1" x14ac:dyDescent="0.2">
      <c r="A97" s="5"/>
      <c r="B97" s="13"/>
      <c r="C97" s="13"/>
      <c r="D97" s="13"/>
      <c r="E97" s="13"/>
      <c r="F97" s="5"/>
      <c r="G97" s="44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ht="15.75" customHeight="1" x14ac:dyDescent="0.2">
      <c r="A98" s="5"/>
      <c r="B98" s="13"/>
      <c r="C98" s="13"/>
      <c r="D98" s="13"/>
      <c r="E98" s="13"/>
      <c r="F98" s="5"/>
      <c r="G98" s="44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ht="15.75" customHeight="1" x14ac:dyDescent="0.2">
      <c r="A99" s="5"/>
      <c r="B99" s="13"/>
      <c r="C99" s="13"/>
      <c r="D99" s="13"/>
      <c r="E99" s="13"/>
      <c r="F99" s="5"/>
      <c r="G99" s="44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ht="15.75" customHeight="1" x14ac:dyDescent="0.2">
      <c r="A100" s="5"/>
      <c r="B100" s="13"/>
      <c r="C100" s="13"/>
      <c r="D100" s="13"/>
      <c r="E100" s="13"/>
      <c r="F100" s="5"/>
      <c r="G100" s="4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ht="15.75" customHeight="1" x14ac:dyDescent="0.2">
      <c r="A101" s="5"/>
      <c r="B101" s="13"/>
      <c r="C101" s="13"/>
      <c r="D101" s="13"/>
      <c r="E101" s="13"/>
      <c r="F101" s="5"/>
      <c r="G101" s="4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ht="15.75" customHeight="1" x14ac:dyDescent="0.2">
      <c r="A102" s="5"/>
      <c r="B102" s="13"/>
      <c r="C102" s="13"/>
      <c r="D102" s="13"/>
      <c r="E102" s="13"/>
      <c r="F102" s="5"/>
      <c r="G102" s="4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ht="15.75" customHeight="1" x14ac:dyDescent="0.2">
      <c r="A103" s="5"/>
      <c r="B103" s="13"/>
      <c r="C103" s="13"/>
      <c r="D103" s="13"/>
      <c r="E103" s="13"/>
      <c r="F103" s="5"/>
      <c r="G103" s="4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ht="15.75" customHeight="1" x14ac:dyDescent="0.2">
      <c r="A104" s="5"/>
      <c r="B104" s="13"/>
      <c r="C104" s="13"/>
      <c r="D104" s="13"/>
      <c r="E104" s="13"/>
      <c r="F104" s="5"/>
      <c r="G104" s="4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ht="15.75" customHeight="1" x14ac:dyDescent="0.2">
      <c r="A105" s="5"/>
      <c r="B105" s="13"/>
      <c r="C105" s="13"/>
      <c r="D105" s="13"/>
      <c r="E105" s="13"/>
      <c r="F105" s="5"/>
      <c r="G105" s="4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ht="15.75" customHeight="1" x14ac:dyDescent="0.2">
      <c r="A106" s="5"/>
      <c r="B106" s="13"/>
      <c r="C106" s="13"/>
      <c r="D106" s="13"/>
      <c r="E106" s="13"/>
      <c r="F106" s="5"/>
      <c r="G106" s="4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ht="15.75" customHeight="1" x14ac:dyDescent="0.2">
      <c r="A107" s="5"/>
      <c r="B107" s="13"/>
      <c r="C107" s="13"/>
      <c r="D107" s="13"/>
      <c r="E107" s="13"/>
      <c r="F107" s="5"/>
      <c r="G107" s="4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ht="15.75" customHeight="1" x14ac:dyDescent="0.2">
      <c r="A108" s="5"/>
      <c r="B108" s="13"/>
      <c r="C108" s="13"/>
      <c r="D108" s="13"/>
      <c r="E108" s="13"/>
      <c r="F108" s="5"/>
      <c r="G108" s="4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ht="15.75" customHeight="1" x14ac:dyDescent="0.2">
      <c r="A109" s="5"/>
      <c r="B109" s="13"/>
      <c r="C109" s="13"/>
      <c r="D109" s="13"/>
      <c r="E109" s="13"/>
      <c r="F109" s="5"/>
      <c r="G109" s="4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ht="15.75" customHeight="1" x14ac:dyDescent="0.2">
      <c r="A110" s="5"/>
      <c r="B110" s="13"/>
      <c r="C110" s="13"/>
      <c r="D110" s="13"/>
      <c r="E110" s="13"/>
      <c r="F110" s="5"/>
      <c r="G110" s="4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ht="15.75" customHeight="1" x14ac:dyDescent="0.2">
      <c r="A111" s="5"/>
      <c r="B111" s="13"/>
      <c r="C111" s="13"/>
      <c r="D111" s="13"/>
      <c r="E111" s="13"/>
      <c r="F111" s="5"/>
      <c r="G111" s="4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ht="15.75" customHeight="1" x14ac:dyDescent="0.2">
      <c r="A112" s="5"/>
      <c r="B112" s="13"/>
      <c r="C112" s="13"/>
      <c r="D112" s="13"/>
      <c r="E112" s="13"/>
      <c r="F112" s="5"/>
      <c r="G112" s="4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ht="15.75" customHeight="1" x14ac:dyDescent="0.2">
      <c r="A113" s="5"/>
      <c r="B113" s="13"/>
      <c r="C113" s="13"/>
      <c r="D113" s="13"/>
      <c r="E113" s="13"/>
      <c r="F113" s="5"/>
      <c r="G113" s="4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ht="15.75" customHeight="1" x14ac:dyDescent="0.2">
      <c r="A114" s="5"/>
      <c r="B114" s="13"/>
      <c r="C114" s="13"/>
      <c r="D114" s="13"/>
      <c r="E114" s="13"/>
      <c r="F114" s="5"/>
      <c r="G114" s="4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ht="15.75" customHeight="1" x14ac:dyDescent="0.2">
      <c r="A115" s="5"/>
      <c r="B115" s="13"/>
      <c r="C115" s="13"/>
      <c r="D115" s="13"/>
      <c r="E115" s="13"/>
      <c r="F115" s="5"/>
      <c r="G115" s="4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ht="15.75" customHeight="1" x14ac:dyDescent="0.2">
      <c r="A116" s="5"/>
      <c r="B116" s="13"/>
      <c r="C116" s="13"/>
      <c r="D116" s="13"/>
      <c r="E116" s="13"/>
      <c r="F116" s="5"/>
      <c r="G116" s="4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ht="15.75" customHeight="1" x14ac:dyDescent="0.2">
      <c r="A117" s="5"/>
      <c r="B117" s="13"/>
      <c r="C117" s="13"/>
      <c r="D117" s="13"/>
      <c r="E117" s="13"/>
      <c r="F117" s="5"/>
      <c r="G117" s="4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ht="15.75" customHeight="1" x14ac:dyDescent="0.2">
      <c r="A118" s="5"/>
      <c r="B118" s="13"/>
      <c r="C118" s="13"/>
      <c r="D118" s="13"/>
      <c r="E118" s="13"/>
      <c r="F118" s="5"/>
      <c r="G118" s="4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ht="15.75" customHeight="1" x14ac:dyDescent="0.2">
      <c r="A119" s="5"/>
      <c r="B119" s="13"/>
      <c r="C119" s="13"/>
      <c r="D119" s="13"/>
      <c r="E119" s="13"/>
      <c r="F119" s="5"/>
      <c r="G119" s="4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ht="15.75" customHeight="1" x14ac:dyDescent="0.2">
      <c r="A120" s="5"/>
      <c r="B120" s="13"/>
      <c r="C120" s="13"/>
      <c r="D120" s="13"/>
      <c r="E120" s="13"/>
      <c r="F120" s="5"/>
      <c r="G120" s="4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ht="15.75" customHeight="1" x14ac:dyDescent="0.2">
      <c r="A121" s="12"/>
      <c r="B121" s="13"/>
      <c r="C121" s="13"/>
      <c r="D121" s="13"/>
      <c r="E121" s="13"/>
      <c r="F121" s="12"/>
      <c r="G121" s="46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ht="15.75" customHeight="1" x14ac:dyDescent="0.2">
      <c r="A122" s="12"/>
      <c r="B122" s="13"/>
      <c r="C122" s="13"/>
      <c r="D122" s="13"/>
      <c r="E122" s="13"/>
      <c r="F122" s="12"/>
      <c r="G122" s="46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ht="15.75" customHeight="1" x14ac:dyDescent="0.2">
      <c r="A123" s="12"/>
      <c r="B123" s="13"/>
      <c r="C123" s="13"/>
      <c r="D123" s="13"/>
      <c r="E123" s="13"/>
      <c r="F123" s="12"/>
      <c r="G123" s="46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ht="15.75" customHeight="1" x14ac:dyDescent="0.2">
      <c r="A124" s="12"/>
      <c r="B124" s="13"/>
      <c r="C124" s="13"/>
      <c r="D124" s="13"/>
      <c r="E124" s="13"/>
      <c r="F124" s="12"/>
      <c r="G124" s="46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ht="15.75" customHeight="1" x14ac:dyDescent="0.2">
      <c r="A125" s="12"/>
      <c r="B125" s="13"/>
      <c r="C125" s="13"/>
      <c r="D125" s="13"/>
      <c r="E125" s="13"/>
      <c r="F125" s="12"/>
      <c r="G125" s="46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ht="15.75" customHeight="1" x14ac:dyDescent="0.2">
      <c r="A126" s="12"/>
      <c r="B126" s="13"/>
      <c r="C126" s="13"/>
      <c r="D126" s="13"/>
      <c r="E126" s="13"/>
      <c r="F126" s="12"/>
      <c r="G126" s="46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ht="15.75" customHeight="1" x14ac:dyDescent="0.2">
      <c r="A127" s="12"/>
      <c r="B127" s="13"/>
      <c r="C127" s="13"/>
      <c r="D127" s="13"/>
      <c r="E127" s="13"/>
      <c r="F127" s="12"/>
      <c r="G127" s="46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ht="15.75" customHeight="1" x14ac:dyDescent="0.2">
      <c r="A128" s="12"/>
      <c r="B128" s="13"/>
      <c r="C128" s="13"/>
      <c r="D128" s="13"/>
      <c r="E128" s="13"/>
      <c r="F128" s="12"/>
      <c r="G128" s="46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ht="15.75" customHeight="1" x14ac:dyDescent="0.2">
      <c r="A129" s="12"/>
      <c r="B129" s="13"/>
      <c r="C129" s="13"/>
      <c r="D129" s="13"/>
      <c r="E129" s="13"/>
      <c r="F129" s="12"/>
      <c r="G129" s="46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ht="15.75" customHeight="1" x14ac:dyDescent="0.2">
      <c r="A130" s="5"/>
      <c r="B130" s="13"/>
      <c r="C130" s="13"/>
      <c r="D130" s="13"/>
      <c r="E130" s="13"/>
      <c r="F130" s="5"/>
      <c r="G130" s="4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ht="15.75" customHeight="1" x14ac:dyDescent="0.2">
      <c r="A131" s="5"/>
      <c r="B131" s="13"/>
      <c r="C131" s="13"/>
      <c r="D131" s="13"/>
      <c r="E131" s="13"/>
      <c r="F131" s="5"/>
      <c r="G131" s="4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ht="15.75" customHeight="1" x14ac:dyDescent="0.2">
      <c r="A132" s="5"/>
      <c r="B132" s="13"/>
      <c r="C132" s="13"/>
      <c r="D132" s="13"/>
      <c r="E132" s="13"/>
      <c r="F132" s="5"/>
      <c r="G132" s="4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ht="15.75" customHeight="1" x14ac:dyDescent="0.2">
      <c r="A133" s="5"/>
      <c r="B133" s="13"/>
      <c r="C133" s="13"/>
      <c r="D133" s="13"/>
      <c r="E133" s="13"/>
      <c r="F133" s="5"/>
      <c r="G133" s="4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ht="15.75" customHeight="1" x14ac:dyDescent="0.2">
      <c r="A134" s="5"/>
      <c r="B134" s="13"/>
      <c r="C134" s="13"/>
      <c r="D134" s="13"/>
      <c r="E134" s="13"/>
      <c r="F134" s="5"/>
      <c r="G134" s="4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ht="15.75" customHeight="1" x14ac:dyDescent="0.2">
      <c r="A135" s="5"/>
      <c r="B135" s="13"/>
      <c r="C135" s="13"/>
      <c r="D135" s="13"/>
      <c r="E135" s="13"/>
      <c r="F135" s="5"/>
      <c r="G135" s="4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ht="15.75" customHeight="1" x14ac:dyDescent="0.2">
      <c r="A136" s="5"/>
      <c r="B136" s="13"/>
      <c r="C136" s="13"/>
      <c r="D136" s="13"/>
      <c r="E136" s="13"/>
      <c r="F136" s="5"/>
      <c r="G136" s="4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ht="15.75" customHeight="1" x14ac:dyDescent="0.2">
      <c r="A137" s="5"/>
      <c r="B137" s="13"/>
      <c r="C137" s="13"/>
      <c r="D137" s="13"/>
      <c r="E137" s="13"/>
      <c r="F137" s="5"/>
      <c r="G137" s="4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ht="15.75" customHeight="1" x14ac:dyDescent="0.2">
      <c r="A138" s="5"/>
      <c r="B138" s="13"/>
      <c r="C138" s="13"/>
      <c r="D138" s="13"/>
      <c r="E138" s="13"/>
      <c r="F138" s="5"/>
      <c r="G138" s="4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ht="15.75" customHeight="1" x14ac:dyDescent="0.2">
      <c r="A139" s="5"/>
      <c r="B139" s="13"/>
      <c r="C139" s="13"/>
      <c r="D139" s="13"/>
      <c r="E139" s="13"/>
      <c r="F139" s="5"/>
      <c r="G139" s="4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ht="15.75" customHeight="1" x14ac:dyDescent="0.2">
      <c r="A140" s="5"/>
      <c r="B140" s="13"/>
      <c r="C140" s="13"/>
      <c r="D140" s="13"/>
      <c r="E140" s="13"/>
      <c r="F140" s="5"/>
      <c r="G140" s="4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ht="15.75" customHeight="1" x14ac:dyDescent="0.2">
      <c r="A141" s="5"/>
      <c r="B141" s="13"/>
      <c r="C141" s="13"/>
      <c r="D141" s="13"/>
      <c r="E141" s="13"/>
      <c r="F141" s="5"/>
      <c r="G141" s="4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ht="15.75" customHeight="1" x14ac:dyDescent="0.2">
      <c r="A142" s="5"/>
      <c r="B142" s="13"/>
      <c r="C142" s="13"/>
      <c r="D142" s="13"/>
      <c r="E142" s="13"/>
      <c r="F142" s="5"/>
      <c r="G142" s="4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ht="15.75" customHeight="1" x14ac:dyDescent="0.2">
      <c r="A143" s="5"/>
      <c r="B143" s="13"/>
      <c r="C143" s="13"/>
      <c r="D143" s="13"/>
      <c r="E143" s="13"/>
      <c r="F143" s="5"/>
      <c r="G143" s="4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ht="15.75" customHeight="1" x14ac:dyDescent="0.2">
      <c r="A144" s="5"/>
      <c r="B144" s="13"/>
      <c r="C144" s="13"/>
      <c r="D144" s="13"/>
      <c r="E144" s="13"/>
      <c r="F144" s="5"/>
      <c r="G144" s="4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ht="15.75" customHeight="1" x14ac:dyDescent="0.2">
      <c r="A145" s="5"/>
      <c r="B145" s="13"/>
      <c r="C145" s="13"/>
      <c r="D145" s="13"/>
      <c r="E145" s="13"/>
      <c r="F145" s="5"/>
      <c r="G145" s="4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ht="15.75" customHeight="1" x14ac:dyDescent="0.2">
      <c r="A146" s="5"/>
      <c r="B146" s="13"/>
      <c r="C146" s="13"/>
      <c r="D146" s="13"/>
      <c r="E146" s="13"/>
      <c r="F146" s="5"/>
      <c r="G146" s="4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ht="15.75" customHeight="1" x14ac:dyDescent="0.2">
      <c r="A147" s="5"/>
      <c r="B147" s="13"/>
      <c r="C147" s="13"/>
      <c r="D147" s="13"/>
      <c r="E147" s="13"/>
      <c r="F147" s="5"/>
      <c r="G147" s="4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ht="15.75" customHeight="1" x14ac:dyDescent="0.2">
      <c r="A148" s="5"/>
      <c r="B148" s="13"/>
      <c r="C148" s="13"/>
      <c r="D148" s="13"/>
      <c r="E148" s="13"/>
      <c r="F148" s="5"/>
      <c r="G148" s="4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ht="15.75" customHeight="1" x14ac:dyDescent="0.2">
      <c r="A149" s="5"/>
      <c r="B149" s="13"/>
      <c r="C149" s="13"/>
      <c r="D149" s="13"/>
      <c r="E149" s="13"/>
      <c r="F149" s="5"/>
      <c r="G149" s="4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ht="15.75" customHeight="1" x14ac:dyDescent="0.2">
      <c r="A150" s="5"/>
      <c r="B150" s="13"/>
      <c r="C150" s="13"/>
      <c r="D150" s="13"/>
      <c r="E150" s="13"/>
      <c r="F150" s="5"/>
      <c r="G150" s="4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ht="15.75" customHeight="1" x14ac:dyDescent="0.2">
      <c r="A151" s="5"/>
      <c r="B151" s="13"/>
      <c r="C151" s="13"/>
      <c r="D151" s="13"/>
      <c r="E151" s="13"/>
      <c r="F151" s="5"/>
      <c r="G151" s="4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ht="15.75" customHeight="1" x14ac:dyDescent="0.2">
      <c r="A152" s="5"/>
      <c r="B152" s="13"/>
      <c r="C152" s="13"/>
      <c r="D152" s="13"/>
      <c r="E152" s="13"/>
      <c r="F152" s="5"/>
      <c r="G152" s="4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ht="15.75" customHeight="1" x14ac:dyDescent="0.2">
      <c r="A153" s="5"/>
      <c r="B153" s="13"/>
      <c r="C153" s="13"/>
      <c r="D153" s="13"/>
      <c r="E153" s="13"/>
      <c r="F153" s="5"/>
      <c r="G153" s="4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ht="15.75" customHeight="1" x14ac:dyDescent="0.2">
      <c r="A154" s="5"/>
      <c r="B154" s="13"/>
      <c r="C154" s="13"/>
      <c r="D154" s="13"/>
      <c r="E154" s="13"/>
      <c r="F154" s="5"/>
      <c r="G154" s="4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ht="15.75" customHeight="1" x14ac:dyDescent="0.2">
      <c r="A155" s="5"/>
      <c r="B155" s="13"/>
      <c r="C155" s="13"/>
      <c r="D155" s="13"/>
      <c r="E155" s="13"/>
      <c r="F155" s="5"/>
      <c r="G155" s="4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ht="15.75" customHeight="1" x14ac:dyDescent="0.2">
      <c r="A156" s="5"/>
      <c r="B156" s="13"/>
      <c r="C156" s="13"/>
      <c r="D156" s="13"/>
      <c r="E156" s="13"/>
      <c r="F156" s="5"/>
      <c r="G156" s="4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ht="15.75" customHeight="1" x14ac:dyDescent="0.2">
      <c r="A157" s="5"/>
      <c r="B157" s="13"/>
      <c r="C157" s="13"/>
      <c r="D157" s="13"/>
      <c r="E157" s="13"/>
      <c r="F157" s="5"/>
      <c r="G157" s="4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ht="15.75" customHeight="1" x14ac:dyDescent="0.2">
      <c r="A158" s="5"/>
      <c r="B158" s="13"/>
      <c r="C158" s="13"/>
      <c r="D158" s="13"/>
      <c r="E158" s="13"/>
      <c r="F158" s="5"/>
      <c r="G158" s="4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ht="15.75" customHeight="1" x14ac:dyDescent="0.2">
      <c r="A159" s="5"/>
      <c r="B159" s="13"/>
      <c r="C159" s="13"/>
      <c r="D159" s="13"/>
      <c r="E159" s="13"/>
      <c r="F159" s="5"/>
      <c r="G159" s="4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ht="15.75" customHeight="1" x14ac:dyDescent="0.2">
      <c r="A160" s="5"/>
      <c r="B160" s="13"/>
      <c r="C160" s="13"/>
      <c r="D160" s="13"/>
      <c r="E160" s="13"/>
      <c r="F160" s="5"/>
      <c r="G160" s="4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ht="15.75" customHeight="1" x14ac:dyDescent="0.2">
      <c r="A161" s="5"/>
      <c r="B161" s="13"/>
      <c r="C161" s="13"/>
      <c r="D161" s="13"/>
      <c r="E161" s="13"/>
      <c r="F161" s="5"/>
      <c r="G161" s="4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ht="15.75" customHeight="1" x14ac:dyDescent="0.2">
      <c r="A162" s="5"/>
      <c r="B162" s="13"/>
      <c r="C162" s="13"/>
      <c r="D162" s="13"/>
      <c r="E162" s="13"/>
      <c r="F162" s="5"/>
      <c r="G162" s="4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ht="15.75" customHeight="1" x14ac:dyDescent="0.2">
      <c r="A163" s="5"/>
      <c r="B163" s="13"/>
      <c r="C163" s="13"/>
      <c r="D163" s="13"/>
      <c r="E163" s="13"/>
      <c r="F163" s="5"/>
      <c r="G163" s="4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ht="15.75" customHeight="1" x14ac:dyDescent="0.2">
      <c r="A164" s="5"/>
      <c r="B164" s="13"/>
      <c r="C164" s="13"/>
      <c r="D164" s="13"/>
      <c r="E164" s="13"/>
      <c r="F164" s="5"/>
      <c r="G164" s="4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ht="15.75" customHeight="1" x14ac:dyDescent="0.2">
      <c r="A165" s="5"/>
      <c r="B165" s="13"/>
      <c r="C165" s="13"/>
      <c r="D165" s="13"/>
      <c r="E165" s="13"/>
      <c r="F165" s="5"/>
      <c r="G165" s="4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ht="15.75" customHeight="1" x14ac:dyDescent="0.2">
      <c r="A166" s="5"/>
      <c r="B166" s="13"/>
      <c r="C166" s="13"/>
      <c r="D166" s="13"/>
      <c r="E166" s="13"/>
      <c r="F166" s="5"/>
      <c r="G166" s="4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ht="15.75" customHeight="1" x14ac:dyDescent="0.2">
      <c r="A167" s="5"/>
      <c r="B167" s="13"/>
      <c r="C167" s="13"/>
      <c r="D167" s="13"/>
      <c r="E167" s="13"/>
      <c r="F167" s="5"/>
      <c r="G167" s="4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ht="15.75" customHeight="1" x14ac:dyDescent="0.2">
      <c r="A168" s="5"/>
      <c r="B168" s="13"/>
      <c r="C168" s="13"/>
      <c r="D168" s="13"/>
      <c r="E168" s="13"/>
      <c r="F168" s="5"/>
      <c r="G168" s="4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ht="15.75" customHeight="1" x14ac:dyDescent="0.2">
      <c r="A169" s="5"/>
      <c r="B169" s="13"/>
      <c r="C169" s="13"/>
      <c r="D169" s="13"/>
      <c r="E169" s="13"/>
      <c r="F169" s="5"/>
      <c r="G169" s="4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ht="15.75" customHeight="1" x14ac:dyDescent="0.2">
      <c r="A170" s="5"/>
      <c r="B170" s="13"/>
      <c r="C170" s="13"/>
      <c r="D170" s="13"/>
      <c r="E170" s="13"/>
      <c r="F170" s="5"/>
      <c r="G170" s="4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ht="15.75" customHeight="1" x14ac:dyDescent="0.2">
      <c r="A171" s="5"/>
      <c r="B171" s="13"/>
      <c r="C171" s="13"/>
      <c r="D171" s="13"/>
      <c r="E171" s="13"/>
      <c r="F171" s="5"/>
      <c r="G171" s="4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ht="15.75" customHeight="1" x14ac:dyDescent="0.2">
      <c r="A172" s="5"/>
      <c r="B172" s="13"/>
      <c r="C172" s="13"/>
      <c r="D172" s="13"/>
      <c r="E172" s="13"/>
      <c r="F172" s="5"/>
      <c r="G172" s="4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ht="15.75" customHeight="1" x14ac:dyDescent="0.2">
      <c r="A173" s="5"/>
      <c r="B173" s="13"/>
      <c r="C173" s="13"/>
      <c r="D173" s="13"/>
      <c r="E173" s="13"/>
      <c r="F173" s="5"/>
      <c r="G173" s="4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ht="15.75" customHeight="1" x14ac:dyDescent="0.2">
      <c r="A174" s="12"/>
      <c r="B174" s="13"/>
      <c r="C174" s="13"/>
      <c r="D174" s="13"/>
      <c r="E174" s="13"/>
      <c r="F174" s="12"/>
      <c r="G174" s="46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ht="15.75" customHeight="1" x14ac:dyDescent="0.2">
      <c r="A175" s="5"/>
      <c r="B175" s="13"/>
      <c r="C175" s="13"/>
      <c r="D175" s="13"/>
      <c r="E175" s="13"/>
      <c r="F175" s="5"/>
      <c r="G175" s="4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ht="15.75" customHeight="1" x14ac:dyDescent="0.2">
      <c r="A176" s="5"/>
      <c r="B176" s="13"/>
      <c r="C176" s="13"/>
      <c r="D176" s="13"/>
      <c r="E176" s="13"/>
      <c r="F176" s="5"/>
      <c r="G176" s="4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ht="15.75" customHeight="1" x14ac:dyDescent="0.2">
      <c r="A177" s="5"/>
      <c r="B177" s="13"/>
      <c r="C177" s="13"/>
      <c r="D177" s="13"/>
      <c r="E177" s="13"/>
      <c r="F177" s="5"/>
      <c r="G177" s="4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ht="15.75" customHeight="1" x14ac:dyDescent="0.2">
      <c r="A178" s="5"/>
      <c r="B178" s="13"/>
      <c r="C178" s="13"/>
      <c r="D178" s="13"/>
      <c r="E178" s="13"/>
      <c r="F178" s="5"/>
      <c r="G178" s="4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ht="15.75" customHeight="1" x14ac:dyDescent="0.2">
      <c r="A179" s="5"/>
      <c r="B179" s="13"/>
      <c r="C179" s="13"/>
      <c r="D179" s="13"/>
      <c r="E179" s="13"/>
      <c r="F179" s="5"/>
      <c r="G179" s="4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ht="15.75" customHeight="1" x14ac:dyDescent="0.2">
      <c r="A180" s="5"/>
      <c r="B180" s="13"/>
      <c r="C180" s="13"/>
      <c r="D180" s="13"/>
      <c r="E180" s="13"/>
      <c r="F180" s="5"/>
      <c r="G180" s="4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ht="15.75" customHeight="1" x14ac:dyDescent="0.2">
      <c r="A181" s="12"/>
      <c r="B181" s="13"/>
      <c r="C181" s="13"/>
      <c r="D181" s="13"/>
      <c r="E181" s="13"/>
      <c r="F181" s="12"/>
      <c r="G181" s="4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ht="15.75" customHeight="1" x14ac:dyDescent="0.2">
      <c r="A182" s="12"/>
      <c r="B182" s="13"/>
      <c r="C182" s="13"/>
      <c r="D182" s="13"/>
      <c r="E182" s="13"/>
      <c r="F182" s="12"/>
      <c r="G182" s="46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ht="15.75" customHeight="1" x14ac:dyDescent="0.2">
      <c r="A183" s="12"/>
      <c r="B183" s="13"/>
      <c r="C183" s="13"/>
      <c r="D183" s="13"/>
      <c r="E183" s="13"/>
      <c r="F183" s="12"/>
      <c r="G183" s="46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ht="15.75" customHeight="1" x14ac:dyDescent="0.2">
      <c r="A184" s="12"/>
      <c r="B184" s="13"/>
      <c r="C184" s="13"/>
      <c r="D184" s="13"/>
      <c r="E184" s="13"/>
      <c r="F184" s="12"/>
      <c r="G184" s="46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ht="15.75" customHeight="1" x14ac:dyDescent="0.2">
      <c r="A185" s="12"/>
      <c r="B185" s="13"/>
      <c r="C185" s="13"/>
      <c r="D185" s="13"/>
      <c r="E185" s="13"/>
      <c r="F185" s="12"/>
      <c r="G185" s="46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ht="15.75" customHeight="1" x14ac:dyDescent="0.2">
      <c r="A186" s="12"/>
      <c r="B186" s="13"/>
      <c r="C186" s="13"/>
      <c r="D186" s="13"/>
      <c r="E186" s="13"/>
      <c r="F186" s="12"/>
      <c r="G186" s="46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ht="15.75" customHeight="1" x14ac:dyDescent="0.2">
      <c r="A187" s="12"/>
      <c r="B187" s="13"/>
      <c r="C187" s="13"/>
      <c r="D187" s="13"/>
      <c r="E187" s="13"/>
      <c r="F187" s="12"/>
      <c r="G187" s="46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ht="15.75" customHeight="1" x14ac:dyDescent="0.2">
      <c r="A188" s="12"/>
      <c r="B188" s="13"/>
      <c r="C188" s="13"/>
      <c r="D188" s="13"/>
      <c r="E188" s="13"/>
      <c r="F188" s="12"/>
      <c r="G188" s="46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ht="15.75" customHeight="1" x14ac:dyDescent="0.2">
      <c r="A189" s="12"/>
      <c r="B189" s="13"/>
      <c r="C189" s="13"/>
      <c r="D189" s="13"/>
      <c r="E189" s="13"/>
      <c r="F189" s="12"/>
      <c r="G189" s="46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ht="15.75" customHeight="1" x14ac:dyDescent="0.2">
      <c r="A190" s="12"/>
      <c r="B190" s="13"/>
      <c r="C190" s="13"/>
      <c r="D190" s="13"/>
      <c r="E190" s="13"/>
      <c r="F190" s="12"/>
      <c r="G190" s="46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ht="15.75" customHeight="1" x14ac:dyDescent="0.2">
      <c r="A191" s="12"/>
      <c r="B191" s="13"/>
      <c r="C191" s="13"/>
      <c r="D191" s="13"/>
      <c r="E191" s="13"/>
      <c r="F191" s="12"/>
      <c r="G191" s="46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ht="15.75" customHeight="1" x14ac:dyDescent="0.2">
      <c r="A192" s="12"/>
      <c r="B192" s="13"/>
      <c r="C192" s="13"/>
      <c r="D192" s="13"/>
      <c r="E192" s="13"/>
      <c r="F192" s="12"/>
      <c r="G192" s="46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ht="15.75" customHeight="1" x14ac:dyDescent="0.2">
      <c r="A193" s="12"/>
      <c r="B193" s="13"/>
      <c r="C193" s="13"/>
      <c r="D193" s="13"/>
      <c r="E193" s="13"/>
      <c r="F193" s="12"/>
      <c r="G193" s="46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ht="15.75" customHeight="1" x14ac:dyDescent="0.2">
      <c r="A194" s="12"/>
      <c r="B194" s="13"/>
      <c r="C194" s="13"/>
      <c r="D194" s="13"/>
      <c r="E194" s="13"/>
      <c r="F194" s="12"/>
      <c r="G194" s="46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ht="15.75" customHeight="1" x14ac:dyDescent="0.2">
      <c r="A195" s="12"/>
      <c r="B195" s="13"/>
      <c r="C195" s="13"/>
      <c r="D195" s="13"/>
      <c r="E195" s="13"/>
      <c r="F195" s="12"/>
      <c r="G195" s="46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ht="15.75" customHeight="1" x14ac:dyDescent="0.2">
      <c r="A196" s="12"/>
      <c r="B196" s="13"/>
      <c r="C196" s="13"/>
      <c r="D196" s="13"/>
      <c r="E196" s="13"/>
      <c r="F196" s="12"/>
      <c r="G196" s="46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ht="15.75" customHeight="1" x14ac:dyDescent="0.2">
      <c r="A197" s="12"/>
      <c r="B197" s="13"/>
      <c r="C197" s="13"/>
      <c r="D197" s="13"/>
      <c r="E197" s="13"/>
      <c r="F197" s="12"/>
      <c r="G197" s="46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ht="15.75" customHeight="1" x14ac:dyDescent="0.2">
      <c r="A198" s="12"/>
      <c r="B198" s="13"/>
      <c r="C198" s="13"/>
      <c r="D198" s="13"/>
      <c r="E198" s="13"/>
      <c r="F198" s="12"/>
      <c r="G198" s="46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ht="15.75" customHeight="1" x14ac:dyDescent="0.2">
      <c r="A199" s="12"/>
      <c r="B199" s="13"/>
      <c r="C199" s="13"/>
      <c r="D199" s="13"/>
      <c r="E199" s="13"/>
      <c r="F199" s="12"/>
      <c r="G199" s="46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ht="15.75" customHeight="1" x14ac:dyDescent="0.2">
      <c r="A200" s="12"/>
      <c r="B200" s="13"/>
      <c r="C200" s="13"/>
      <c r="D200" s="13"/>
      <c r="E200" s="13"/>
      <c r="F200" s="12"/>
      <c r="G200" s="46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ht="15.75" customHeight="1" x14ac:dyDescent="0.2">
      <c r="A201" s="12"/>
      <c r="B201" s="13"/>
      <c r="C201" s="13"/>
      <c r="D201" s="13"/>
      <c r="E201" s="13"/>
      <c r="F201" s="12"/>
      <c r="G201" s="46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ht="15.75" customHeight="1" x14ac:dyDescent="0.2">
      <c r="A202" s="12"/>
      <c r="B202" s="13"/>
      <c r="C202" s="13"/>
      <c r="D202" s="13"/>
      <c r="E202" s="13"/>
      <c r="F202" s="12"/>
      <c r="G202" s="46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ht="15.75" customHeight="1" x14ac:dyDescent="0.2">
      <c r="A203" s="12"/>
      <c r="B203" s="13"/>
      <c r="C203" s="13"/>
      <c r="D203" s="13"/>
      <c r="E203" s="13"/>
      <c r="F203" s="12"/>
      <c r="G203" s="46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ht="15.75" customHeight="1" x14ac:dyDescent="0.2">
      <c r="A204" s="12"/>
      <c r="B204" s="13"/>
      <c r="C204" s="13"/>
      <c r="D204" s="13"/>
      <c r="E204" s="13"/>
      <c r="F204" s="12"/>
      <c r="G204" s="46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ht="15.75" customHeight="1" x14ac:dyDescent="0.2">
      <c r="A205" s="12"/>
      <c r="B205" s="13"/>
      <c r="C205" s="13"/>
      <c r="D205" s="13"/>
      <c r="E205" s="13"/>
      <c r="F205" s="12"/>
      <c r="G205" s="46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ht="15.75" customHeight="1" x14ac:dyDescent="0.2">
      <c r="A206" s="12"/>
      <c r="B206" s="13"/>
      <c r="C206" s="13"/>
      <c r="D206" s="13"/>
      <c r="E206" s="13"/>
      <c r="F206" s="12"/>
      <c r="G206" s="46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ht="15.75" customHeight="1" x14ac:dyDescent="0.2">
      <c r="A207" s="12"/>
      <c r="B207" s="13"/>
      <c r="C207" s="13"/>
      <c r="D207" s="13"/>
      <c r="E207" s="13"/>
      <c r="F207" s="12"/>
      <c r="G207" s="4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ht="15.75" customHeight="1" x14ac:dyDescent="0.2">
      <c r="A208" s="12"/>
      <c r="B208" s="13"/>
      <c r="C208" s="13"/>
      <c r="D208" s="13"/>
      <c r="E208" s="13"/>
      <c r="F208" s="12"/>
      <c r="G208" s="46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ht="15.75" customHeight="1" x14ac:dyDescent="0.2">
      <c r="A209" s="12"/>
      <c r="B209" s="13"/>
      <c r="C209" s="13"/>
      <c r="D209" s="13"/>
      <c r="E209" s="13"/>
      <c r="F209" s="12"/>
      <c r="G209" s="46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ht="15.75" customHeight="1" x14ac:dyDescent="0.2">
      <c r="A210" s="12"/>
      <c r="B210" s="13"/>
      <c r="C210" s="13"/>
      <c r="D210" s="13"/>
      <c r="E210" s="13"/>
      <c r="F210" s="12"/>
      <c r="G210" s="4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ht="15.75" customHeight="1" x14ac:dyDescent="0.2">
      <c r="A211" s="12"/>
      <c r="B211" s="13"/>
      <c r="C211" s="13"/>
      <c r="D211" s="13"/>
      <c r="E211" s="13"/>
      <c r="F211" s="12"/>
      <c r="G211" s="4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ht="15.75" customHeight="1" x14ac:dyDescent="0.2">
      <c r="A212" s="12"/>
      <c r="B212" s="13"/>
      <c r="C212" s="13"/>
      <c r="D212" s="13"/>
      <c r="E212" s="13"/>
      <c r="F212" s="12"/>
      <c r="G212" s="4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ht="15.75" customHeight="1" x14ac:dyDescent="0.2">
      <c r="A213" s="12"/>
      <c r="B213" s="13"/>
      <c r="C213" s="13"/>
      <c r="D213" s="13"/>
      <c r="E213" s="13"/>
      <c r="F213" s="12"/>
      <c r="G213" s="46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ht="15.75" customHeight="1" x14ac:dyDescent="0.2">
      <c r="A214" s="12"/>
      <c r="B214" s="13"/>
      <c r="C214" s="13"/>
      <c r="D214" s="13"/>
      <c r="E214" s="13"/>
      <c r="F214" s="12"/>
      <c r="G214" s="4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ht="15.75" customHeight="1" x14ac:dyDescent="0.2">
      <c r="A215" s="12"/>
      <c r="B215" s="13"/>
      <c r="C215" s="13"/>
      <c r="D215" s="13"/>
      <c r="E215" s="13"/>
      <c r="F215" s="12"/>
      <c r="G215" s="4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ht="15.75" customHeight="1" x14ac:dyDescent="0.2">
      <c r="A216" s="12"/>
      <c r="B216" s="13"/>
      <c r="C216" s="13"/>
      <c r="D216" s="13"/>
      <c r="E216" s="13"/>
      <c r="F216" s="12"/>
      <c r="G216" s="4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ht="15.75" customHeight="1" x14ac:dyDescent="0.2">
      <c r="A217" s="12"/>
      <c r="B217" s="13"/>
      <c r="C217" s="13"/>
      <c r="D217" s="13"/>
      <c r="E217" s="13"/>
      <c r="F217" s="12"/>
      <c r="G217" s="46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ht="15.75" customHeight="1" x14ac:dyDescent="0.2">
      <c r="A218" s="12"/>
      <c r="B218" s="13"/>
      <c r="C218" s="13"/>
      <c r="D218" s="13"/>
      <c r="E218" s="13"/>
      <c r="F218" s="12"/>
      <c r="G218" s="46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ht="15.75" customHeight="1" x14ac:dyDescent="0.2">
      <c r="A219" s="12"/>
      <c r="B219" s="13"/>
      <c r="C219" s="13"/>
      <c r="D219" s="13"/>
      <c r="E219" s="13"/>
      <c r="F219" s="12"/>
      <c r="G219" s="46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ht="15.75" customHeight="1" x14ac:dyDescent="0.2">
      <c r="A220" s="12"/>
      <c r="B220" s="13"/>
      <c r="C220" s="13"/>
      <c r="D220" s="13"/>
      <c r="E220" s="13"/>
      <c r="F220" s="12"/>
      <c r="G220" s="46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ht="15.75" customHeight="1" x14ac:dyDescent="0.2">
      <c r="A221" s="5"/>
      <c r="B221" s="13"/>
      <c r="C221" s="13"/>
      <c r="D221" s="13"/>
      <c r="E221" s="13"/>
      <c r="F221" s="5"/>
      <c r="G221" s="4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ht="15.75" customHeight="1" x14ac:dyDescent="0.2">
      <c r="A222" s="12"/>
      <c r="B222" s="13"/>
      <c r="C222" s="13"/>
      <c r="D222" s="13"/>
      <c r="E222" s="13"/>
      <c r="F222" s="12"/>
      <c r="G222" s="46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ht="15.75" customHeight="1" x14ac:dyDescent="0.2">
      <c r="A223" s="5"/>
      <c r="B223" s="13"/>
      <c r="C223" s="13"/>
      <c r="D223" s="13"/>
      <c r="E223" s="13"/>
      <c r="F223" s="5"/>
      <c r="G223" s="4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ht="15.75" customHeight="1" x14ac:dyDescent="0.2">
      <c r="A224" s="5"/>
      <c r="B224" s="13"/>
      <c r="C224" s="13"/>
      <c r="D224" s="13"/>
      <c r="E224" s="13"/>
      <c r="F224" s="5"/>
      <c r="G224" s="4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ht="15.75" customHeight="1" x14ac:dyDescent="0.2">
      <c r="A225" s="5"/>
      <c r="B225" s="13"/>
      <c r="C225" s="13"/>
      <c r="D225" s="13"/>
      <c r="E225" s="13"/>
      <c r="F225" s="5"/>
      <c r="G225" s="4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ht="15.75" customHeight="1" x14ac:dyDescent="0.2">
      <c r="A226" s="5"/>
      <c r="B226" s="13"/>
      <c r="C226" s="13"/>
      <c r="D226" s="13"/>
      <c r="E226" s="13"/>
      <c r="F226" s="5"/>
      <c r="G226" s="4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ht="15.75" customHeight="1" x14ac:dyDescent="0.2">
      <c r="A227" s="5"/>
      <c r="B227" s="13"/>
      <c r="C227" s="13"/>
      <c r="D227" s="13"/>
      <c r="E227" s="13"/>
      <c r="F227" s="5"/>
      <c r="G227" s="4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ht="15.75" customHeight="1" x14ac:dyDescent="0.2">
      <c r="A228" s="5"/>
      <c r="B228" s="13"/>
      <c r="C228" s="13"/>
      <c r="D228" s="13"/>
      <c r="E228" s="13"/>
      <c r="F228" s="5"/>
      <c r="G228" s="4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ht="15.75" customHeight="1" x14ac:dyDescent="0.2">
      <c r="A229" s="5"/>
      <c r="B229" s="13"/>
      <c r="C229" s="13"/>
      <c r="D229" s="13"/>
      <c r="E229" s="13"/>
      <c r="F229" s="5"/>
      <c r="G229" s="4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ht="15.75" customHeight="1" x14ac:dyDescent="0.2">
      <c r="A230" s="5"/>
      <c r="B230" s="13"/>
      <c r="C230" s="13"/>
      <c r="D230" s="13"/>
      <c r="E230" s="13"/>
      <c r="F230" s="5"/>
      <c r="G230" s="4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ht="15.75" customHeight="1" x14ac:dyDescent="0.2">
      <c r="A231" s="5"/>
      <c r="B231" s="13"/>
      <c r="C231" s="13"/>
      <c r="D231" s="13"/>
      <c r="E231" s="13"/>
      <c r="F231" s="5"/>
      <c r="G231" s="4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ht="15.75" customHeight="1" x14ac:dyDescent="0.2">
      <c r="A232" s="5"/>
      <c r="B232" s="13"/>
      <c r="C232" s="13"/>
      <c r="D232" s="13"/>
      <c r="E232" s="13"/>
      <c r="F232" s="5"/>
      <c r="G232" s="4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ht="15.75" customHeight="1" x14ac:dyDescent="0.2">
      <c r="A233" s="5"/>
      <c r="B233" s="13"/>
      <c r="C233" s="13"/>
      <c r="D233" s="13"/>
      <c r="E233" s="13"/>
      <c r="F233" s="5"/>
      <c r="G233" s="4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ht="15.75" customHeight="1" x14ac:dyDescent="0.2">
      <c r="A234" s="5"/>
      <c r="B234" s="13"/>
      <c r="C234" s="13"/>
      <c r="D234" s="13"/>
      <c r="E234" s="13"/>
      <c r="F234" s="5"/>
      <c r="G234" s="4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ht="15.75" customHeight="1" x14ac:dyDescent="0.2">
      <c r="A235" s="5"/>
      <c r="B235" s="13"/>
      <c r="C235" s="13"/>
      <c r="D235" s="13"/>
      <c r="E235" s="13"/>
      <c r="F235" s="5"/>
      <c r="G235" s="4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ht="15.75" customHeight="1" x14ac:dyDescent="0.2">
      <c r="A236" s="5"/>
      <c r="B236" s="13"/>
      <c r="C236" s="13"/>
      <c r="D236" s="13"/>
      <c r="E236" s="13"/>
      <c r="F236" s="5"/>
      <c r="G236" s="4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ht="15.75" customHeight="1" x14ac:dyDescent="0.2">
      <c r="A237" s="5"/>
      <c r="B237" s="13"/>
      <c r="C237" s="13"/>
      <c r="D237" s="13"/>
      <c r="E237" s="13"/>
      <c r="F237" s="5"/>
      <c r="G237" s="4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ht="15.75" customHeight="1" x14ac:dyDescent="0.2">
      <c r="A238" s="5"/>
      <c r="B238" s="13"/>
      <c r="C238" s="13"/>
      <c r="D238" s="13"/>
      <c r="E238" s="13"/>
      <c r="F238" s="5"/>
      <c r="G238" s="4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ht="15.75" customHeight="1" x14ac:dyDescent="0.2">
      <c r="A239" s="5"/>
      <c r="B239" s="13"/>
      <c r="C239" s="13"/>
      <c r="D239" s="13"/>
      <c r="E239" s="13"/>
      <c r="F239" s="5"/>
      <c r="G239" s="4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ht="15.75" customHeight="1" x14ac:dyDescent="0.2">
      <c r="A240" s="5"/>
      <c r="B240" s="13"/>
      <c r="C240" s="13"/>
      <c r="D240" s="13"/>
      <c r="E240" s="13"/>
      <c r="F240" s="5"/>
      <c r="G240" s="4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ht="15.75" customHeight="1" x14ac:dyDescent="0.2">
      <c r="A241" s="5"/>
      <c r="B241" s="13"/>
      <c r="C241" s="13"/>
      <c r="D241" s="13"/>
      <c r="E241" s="13"/>
      <c r="F241" s="5"/>
      <c r="G241" s="4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ht="15.75" customHeight="1" x14ac:dyDescent="0.2">
      <c r="A242" s="5"/>
      <c r="B242" s="13"/>
      <c r="C242" s="13"/>
      <c r="D242" s="13"/>
      <c r="E242" s="13"/>
      <c r="F242" s="5"/>
      <c r="G242" s="4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ht="15.75" customHeight="1" x14ac:dyDescent="0.2">
      <c r="A243" s="5"/>
      <c r="B243" s="13"/>
      <c r="C243" s="13"/>
      <c r="D243" s="13"/>
      <c r="E243" s="13"/>
      <c r="F243" s="5"/>
      <c r="G243" s="4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ht="15.75" customHeight="1" x14ac:dyDescent="0.2">
      <c r="A244" s="5"/>
      <c r="B244" s="13"/>
      <c r="C244" s="13"/>
      <c r="D244" s="13"/>
      <c r="E244" s="13"/>
      <c r="F244" s="5"/>
      <c r="G244" s="4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ht="15.75" customHeight="1" x14ac:dyDescent="0.2">
      <c r="A245" s="5"/>
      <c r="B245" s="13"/>
      <c r="C245" s="13"/>
      <c r="D245" s="13"/>
      <c r="E245" s="13"/>
      <c r="F245" s="5"/>
      <c r="G245" s="4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ht="15.75" customHeight="1" x14ac:dyDescent="0.2">
      <c r="A246" s="5"/>
      <c r="B246" s="13"/>
      <c r="C246" s="13"/>
      <c r="D246" s="13"/>
      <c r="E246" s="13"/>
      <c r="F246" s="5"/>
      <c r="G246" s="4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ht="15.75" customHeight="1" x14ac:dyDescent="0.2">
      <c r="A247" s="5"/>
      <c r="B247" s="13"/>
      <c r="C247" s="13"/>
      <c r="D247" s="13"/>
      <c r="E247" s="13"/>
      <c r="F247" s="5"/>
      <c r="G247" s="4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ht="15.75" customHeight="1" x14ac:dyDescent="0.2">
      <c r="A248" s="5"/>
      <c r="B248" s="13"/>
      <c r="C248" s="13"/>
      <c r="D248" s="13"/>
      <c r="E248" s="13"/>
      <c r="F248" s="5"/>
      <c r="G248" s="4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ht="140.5" customHeight="1" x14ac:dyDescent="0.2">
      <c r="A249" s="5"/>
      <c r="B249" s="13"/>
      <c r="C249" s="13"/>
      <c r="D249" s="13"/>
      <c r="E249" s="13"/>
      <c r="F249" s="5"/>
      <c r="G249" s="4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ht="15" customHeight="1" x14ac:dyDescent="0.2">
      <c r="B250" s="13"/>
      <c r="C250" s="13"/>
      <c r="D250" s="13"/>
      <c r="E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ht="15.75" customHeight="1" x14ac:dyDescent="0.2">
      <c r="A251" s="5"/>
      <c r="B251" s="13"/>
      <c r="C251" s="13"/>
      <c r="D251" s="13"/>
      <c r="E251" s="13"/>
      <c r="F251" s="5"/>
      <c r="G251" s="4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ht="15.75" customHeight="1" x14ac:dyDescent="0.2">
      <c r="A252" s="5"/>
      <c r="B252" s="13"/>
      <c r="C252" s="13"/>
      <c r="D252" s="13"/>
      <c r="E252" s="13"/>
      <c r="F252" s="5"/>
      <c r="G252" s="4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ht="15.75" customHeight="1" x14ac:dyDescent="0.2">
      <c r="A253" s="5"/>
      <c r="B253" s="13"/>
      <c r="C253" s="13"/>
      <c r="D253" s="13"/>
      <c r="E253" s="13"/>
      <c r="F253" s="5"/>
      <c r="G253" s="44"/>
      <c r="I253" s="13"/>
      <c r="J253" s="13"/>
      <c r="K253" s="13"/>
      <c r="L253" s="13"/>
      <c r="M253" s="5"/>
      <c r="N253" s="5"/>
      <c r="O253" s="5"/>
      <c r="P253" s="13"/>
      <c r="Q253" s="13"/>
      <c r="R253" s="13"/>
      <c r="S253" s="13"/>
      <c r="T253" s="5"/>
      <c r="U253" s="5"/>
    </row>
    <row r="254" spans="1:21" ht="15.75" customHeight="1" x14ac:dyDescent="0.2">
      <c r="A254" s="5"/>
      <c r="B254" s="5"/>
      <c r="C254" s="5"/>
      <c r="D254" s="5"/>
      <c r="E254" s="5"/>
      <c r="F254" s="5"/>
      <c r="G254" s="4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5.75" customHeight="1" x14ac:dyDescent="0.2">
      <c r="A255" s="5"/>
      <c r="B255" s="5"/>
      <c r="C255" s="5"/>
      <c r="D255" s="5"/>
      <c r="E255" s="5"/>
      <c r="F255" s="5"/>
      <c r="G255" s="4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5.75" customHeight="1" x14ac:dyDescent="0.2">
      <c r="A256" s="5"/>
      <c r="B256" s="5"/>
      <c r="C256" s="5"/>
      <c r="D256" s="5"/>
      <c r="E256" s="5"/>
      <c r="F256" s="5"/>
      <c r="G256" s="4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5.75" customHeight="1" x14ac:dyDescent="0.2">
      <c r="A257" s="5"/>
      <c r="B257" s="5"/>
      <c r="C257" s="5"/>
      <c r="D257" s="5"/>
      <c r="E257" s="5"/>
      <c r="F257" s="5"/>
      <c r="G257" s="4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5.75" customHeight="1" x14ac:dyDescent="0.2">
      <c r="A258" s="5"/>
      <c r="B258" s="5"/>
      <c r="C258" s="5"/>
      <c r="D258" s="5"/>
      <c r="E258" s="5"/>
      <c r="F258" s="5"/>
      <c r="G258" s="4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5.75" customHeight="1" x14ac:dyDescent="0.2">
      <c r="A259" s="5"/>
      <c r="B259" s="5"/>
      <c r="C259" s="5"/>
      <c r="D259" s="5"/>
      <c r="E259" s="5"/>
      <c r="F259" s="5"/>
      <c r="G259" s="4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5.75" customHeight="1" x14ac:dyDescent="0.2">
      <c r="A260" s="5"/>
      <c r="B260" s="5"/>
      <c r="C260" s="5"/>
      <c r="D260" s="5"/>
      <c r="E260" s="5"/>
      <c r="F260" s="5"/>
      <c r="G260" s="4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5.75" customHeight="1" x14ac:dyDescent="0.2">
      <c r="A261" s="5"/>
      <c r="B261" s="5"/>
      <c r="C261" s="5"/>
      <c r="D261" s="5"/>
      <c r="E261" s="5"/>
      <c r="F261" s="5"/>
      <c r="G261" s="4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5.75" customHeight="1" x14ac:dyDescent="0.2">
      <c r="A262" s="5"/>
      <c r="B262" s="5"/>
      <c r="C262" s="5"/>
      <c r="D262" s="5"/>
      <c r="E262" s="5"/>
      <c r="F262" s="5"/>
      <c r="G262" s="4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5.75" customHeight="1" x14ac:dyDescent="0.2">
      <c r="A263" s="5"/>
      <c r="B263" s="5"/>
      <c r="C263" s="5"/>
      <c r="D263" s="5"/>
      <c r="E263" s="5"/>
      <c r="F263" s="5"/>
      <c r="G263" s="4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5.75" customHeight="1" x14ac:dyDescent="0.2">
      <c r="A264" s="5"/>
      <c r="B264" s="5"/>
      <c r="C264" s="5"/>
      <c r="D264" s="5"/>
      <c r="E264" s="5"/>
      <c r="F264" s="5"/>
      <c r="G264" s="4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5.75" customHeight="1" x14ac:dyDescent="0.2">
      <c r="A265" s="5"/>
      <c r="B265" s="5"/>
      <c r="C265" s="5"/>
      <c r="D265" s="5"/>
      <c r="E265" s="5"/>
      <c r="F265" s="5"/>
      <c r="G265" s="4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5.75" customHeight="1" x14ac:dyDescent="0.2">
      <c r="A266" s="5"/>
      <c r="B266" s="5"/>
      <c r="C266" s="5"/>
      <c r="D266" s="5"/>
      <c r="E266" s="5"/>
      <c r="F266" s="5"/>
      <c r="G266" s="4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5.75" customHeight="1" x14ac:dyDescent="0.2">
      <c r="A267" s="5"/>
      <c r="B267" s="5"/>
      <c r="C267" s="5"/>
      <c r="D267" s="5"/>
      <c r="E267" s="5"/>
      <c r="F267" s="5"/>
      <c r="G267" s="4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5.75" customHeight="1" x14ac:dyDescent="0.2">
      <c r="A268" s="5"/>
      <c r="B268" s="5"/>
      <c r="C268" s="5"/>
      <c r="D268" s="5"/>
      <c r="E268" s="5"/>
      <c r="F268" s="5"/>
      <c r="G268" s="4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5.75" customHeight="1" x14ac:dyDescent="0.2">
      <c r="A269" s="5"/>
      <c r="B269" s="5"/>
      <c r="C269" s="5"/>
      <c r="D269" s="5"/>
      <c r="E269" s="5"/>
      <c r="F269" s="5"/>
      <c r="G269" s="4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5.75" customHeight="1" x14ac:dyDescent="0.2">
      <c r="A270" s="5"/>
      <c r="B270" s="5"/>
      <c r="C270" s="5"/>
      <c r="D270" s="5"/>
      <c r="E270" s="5"/>
      <c r="F270" s="5"/>
      <c r="G270" s="4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5.75" customHeight="1" x14ac:dyDescent="0.2">
      <c r="A271" s="5"/>
      <c r="B271" s="5"/>
      <c r="C271" s="5"/>
      <c r="D271" s="5"/>
      <c r="E271" s="5"/>
      <c r="F271" s="5"/>
      <c r="G271" s="4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5.75" customHeight="1" x14ac:dyDescent="0.2">
      <c r="A272" s="5"/>
      <c r="B272" s="5"/>
      <c r="C272" s="5"/>
      <c r="D272" s="5"/>
      <c r="E272" s="5"/>
      <c r="F272" s="5"/>
      <c r="G272" s="4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5.75" customHeight="1" x14ac:dyDescent="0.2">
      <c r="A273" s="5"/>
      <c r="B273" s="5"/>
      <c r="C273" s="5"/>
      <c r="D273" s="5"/>
      <c r="E273" s="5"/>
      <c r="F273" s="5"/>
      <c r="G273" s="4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5.75" customHeight="1" x14ac:dyDescent="0.2">
      <c r="A274" s="5"/>
      <c r="B274" s="5"/>
      <c r="C274" s="5"/>
      <c r="D274" s="5"/>
      <c r="E274" s="5"/>
      <c r="F274" s="5"/>
      <c r="G274" s="4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5.75" customHeight="1" x14ac:dyDescent="0.2">
      <c r="A275" s="5"/>
      <c r="B275" s="5"/>
      <c r="C275" s="5"/>
      <c r="D275" s="5"/>
      <c r="E275" s="5"/>
      <c r="F275" s="5"/>
      <c r="G275" s="4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5.75" customHeight="1" x14ac:dyDescent="0.2">
      <c r="A276" s="5"/>
      <c r="B276" s="5"/>
      <c r="C276" s="5"/>
      <c r="D276" s="5"/>
      <c r="E276" s="5"/>
      <c r="F276" s="5"/>
      <c r="G276" s="4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5.75" customHeight="1" x14ac:dyDescent="0.2">
      <c r="A277" s="5"/>
      <c r="B277" s="5"/>
      <c r="C277" s="5"/>
      <c r="D277" s="5"/>
      <c r="E277" s="5"/>
      <c r="F277" s="5"/>
      <c r="G277" s="4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5.75" customHeight="1" x14ac:dyDescent="0.2">
      <c r="A278" s="5"/>
      <c r="B278" s="5"/>
      <c r="C278" s="5"/>
      <c r="D278" s="5"/>
      <c r="E278" s="5"/>
      <c r="F278" s="5"/>
      <c r="G278" s="4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5.75" customHeight="1" x14ac:dyDescent="0.2">
      <c r="A279" s="5"/>
      <c r="B279" s="5"/>
      <c r="C279" s="5"/>
      <c r="D279" s="5"/>
      <c r="E279" s="5"/>
      <c r="F279" s="5"/>
      <c r="G279" s="4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5.75" customHeight="1" x14ac:dyDescent="0.2">
      <c r="A280" s="5"/>
      <c r="B280" s="5"/>
      <c r="C280" s="5"/>
      <c r="D280" s="5"/>
      <c r="E280" s="5"/>
      <c r="F280" s="5"/>
      <c r="G280" s="4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5.75" customHeight="1" x14ac:dyDescent="0.2">
      <c r="A281" s="5"/>
      <c r="B281" s="5"/>
      <c r="C281" s="5"/>
      <c r="D281" s="5"/>
      <c r="E281" s="5"/>
      <c r="F281" s="5"/>
      <c r="G281" s="4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5.75" customHeight="1" x14ac:dyDescent="0.2">
      <c r="A282" s="5"/>
      <c r="B282" s="5"/>
      <c r="C282" s="5"/>
      <c r="D282" s="5"/>
      <c r="E282" s="5"/>
      <c r="F282" s="5"/>
      <c r="G282" s="4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5.75" customHeight="1" x14ac:dyDescent="0.2">
      <c r="A283" s="5"/>
      <c r="B283" s="5"/>
      <c r="C283" s="5"/>
      <c r="D283" s="5"/>
      <c r="E283" s="5"/>
      <c r="F283" s="5"/>
      <c r="G283" s="4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5.75" customHeight="1" x14ac:dyDescent="0.2">
      <c r="A284" s="5"/>
      <c r="B284" s="5"/>
      <c r="C284" s="5"/>
      <c r="D284" s="5"/>
      <c r="E284" s="5"/>
      <c r="F284" s="5"/>
      <c r="G284" s="4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5.75" customHeight="1" x14ac:dyDescent="0.2">
      <c r="A285" s="5"/>
      <c r="B285" s="5"/>
      <c r="C285" s="5"/>
      <c r="D285" s="5"/>
      <c r="E285" s="5"/>
      <c r="F285" s="5"/>
      <c r="G285" s="4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5.75" customHeight="1" x14ac:dyDescent="0.2">
      <c r="A286" s="5"/>
      <c r="B286" s="5"/>
      <c r="C286" s="5"/>
      <c r="D286" s="5"/>
      <c r="E286" s="5"/>
      <c r="F286" s="5"/>
      <c r="G286" s="4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5.75" customHeight="1" x14ac:dyDescent="0.2">
      <c r="A287" s="5"/>
      <c r="B287" s="5"/>
      <c r="C287" s="5"/>
      <c r="D287" s="5"/>
      <c r="E287" s="5"/>
      <c r="F287" s="5"/>
      <c r="G287" s="4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5.75" customHeight="1" x14ac:dyDescent="0.2">
      <c r="A288" s="5"/>
      <c r="B288" s="5"/>
      <c r="C288" s="5"/>
      <c r="D288" s="5"/>
      <c r="E288" s="5"/>
      <c r="F288" s="5"/>
      <c r="G288" s="4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5.75" customHeight="1" x14ac:dyDescent="0.2">
      <c r="A289" s="5"/>
      <c r="B289" s="5"/>
      <c r="C289" s="5"/>
      <c r="D289" s="5"/>
      <c r="E289" s="5"/>
      <c r="F289" s="5"/>
      <c r="G289" s="4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5.75" customHeight="1" x14ac:dyDescent="0.2">
      <c r="A290" s="5"/>
      <c r="B290" s="5"/>
      <c r="C290" s="5"/>
      <c r="D290" s="5"/>
      <c r="E290" s="5"/>
      <c r="F290" s="5"/>
      <c r="G290" s="4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5.75" customHeight="1" x14ac:dyDescent="0.2">
      <c r="A291" s="5"/>
      <c r="B291" s="5"/>
      <c r="C291" s="5"/>
      <c r="D291" s="5"/>
      <c r="E291" s="5"/>
      <c r="F291" s="5"/>
      <c r="G291" s="4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5.75" customHeight="1" x14ac:dyDescent="0.2">
      <c r="A292" s="5"/>
      <c r="B292" s="5"/>
      <c r="C292" s="5"/>
      <c r="D292" s="5"/>
      <c r="E292" s="5"/>
      <c r="F292" s="5"/>
      <c r="G292" s="4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5.75" customHeight="1" x14ac:dyDescent="0.2">
      <c r="A293" s="5"/>
      <c r="B293" s="5"/>
      <c r="C293" s="5"/>
      <c r="D293" s="5"/>
      <c r="E293" s="5"/>
      <c r="F293" s="5"/>
      <c r="G293" s="4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5.75" customHeight="1" x14ac:dyDescent="0.2">
      <c r="A294" s="5"/>
      <c r="B294" s="5"/>
      <c r="C294" s="5"/>
      <c r="D294" s="5"/>
      <c r="E294" s="5"/>
      <c r="F294" s="5"/>
      <c r="G294" s="4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5.75" customHeight="1" x14ac:dyDescent="0.2">
      <c r="A295" s="5"/>
      <c r="B295" s="5"/>
      <c r="C295" s="5"/>
      <c r="D295" s="5"/>
      <c r="E295" s="5"/>
      <c r="F295" s="5"/>
      <c r="G295" s="4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5.75" customHeight="1" x14ac:dyDescent="0.2">
      <c r="A296" s="5"/>
      <c r="B296" s="5"/>
      <c r="C296" s="5"/>
      <c r="D296" s="5"/>
      <c r="E296" s="5"/>
      <c r="F296" s="5"/>
      <c r="G296" s="4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5.75" customHeight="1" x14ac:dyDescent="0.2">
      <c r="A297" s="5"/>
      <c r="B297" s="5"/>
      <c r="C297" s="5"/>
      <c r="D297" s="5"/>
      <c r="E297" s="5"/>
      <c r="F297" s="5"/>
      <c r="G297" s="4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5.75" customHeight="1" x14ac:dyDescent="0.2">
      <c r="A298" s="5"/>
      <c r="B298" s="5"/>
      <c r="C298" s="5"/>
      <c r="D298" s="5"/>
      <c r="E298" s="5"/>
      <c r="F298" s="5"/>
      <c r="G298" s="4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5.75" customHeight="1" x14ac:dyDescent="0.2">
      <c r="A299" s="5"/>
      <c r="B299" s="5"/>
      <c r="C299" s="5"/>
      <c r="D299" s="5"/>
      <c r="E299" s="5"/>
      <c r="F299" s="5"/>
      <c r="G299" s="4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5.75" customHeight="1" x14ac:dyDescent="0.2">
      <c r="A300" s="5"/>
      <c r="B300" s="5"/>
      <c r="C300" s="5"/>
      <c r="D300" s="5"/>
      <c r="E300" s="5"/>
      <c r="F300" s="5"/>
      <c r="G300" s="4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5.75" customHeight="1" x14ac:dyDescent="0.2">
      <c r="A301" s="5"/>
      <c r="B301" s="5"/>
      <c r="C301" s="5"/>
      <c r="D301" s="5"/>
      <c r="E301" s="5"/>
      <c r="F301" s="5"/>
      <c r="G301" s="4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5.75" customHeight="1" x14ac:dyDescent="0.2">
      <c r="A302" s="5"/>
      <c r="B302" s="5"/>
      <c r="C302" s="5"/>
      <c r="D302" s="5"/>
      <c r="E302" s="5"/>
      <c r="F302" s="5"/>
      <c r="G302" s="4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5.75" customHeight="1" x14ac:dyDescent="0.2">
      <c r="A303" s="5"/>
      <c r="B303" s="5"/>
      <c r="C303" s="5"/>
      <c r="D303" s="5"/>
      <c r="E303" s="5"/>
      <c r="F303" s="5"/>
      <c r="G303" s="4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5.75" customHeight="1" x14ac:dyDescent="0.2">
      <c r="A304" s="5"/>
      <c r="B304" s="5"/>
      <c r="C304" s="5"/>
      <c r="D304" s="5"/>
      <c r="E304" s="5"/>
      <c r="F304" s="5"/>
      <c r="G304" s="4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5.75" customHeight="1" x14ac:dyDescent="0.2">
      <c r="A305" s="5"/>
      <c r="B305" s="5"/>
      <c r="C305" s="5"/>
      <c r="D305" s="5"/>
      <c r="E305" s="5"/>
      <c r="F305" s="5"/>
      <c r="G305" s="4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5.75" customHeight="1" x14ac:dyDescent="0.2">
      <c r="A306" s="5"/>
      <c r="B306" s="5"/>
      <c r="C306" s="5"/>
      <c r="D306" s="5"/>
      <c r="E306" s="5"/>
      <c r="F306" s="5"/>
      <c r="G306" s="4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5.75" customHeight="1" x14ac:dyDescent="0.2">
      <c r="A307" s="5"/>
      <c r="B307" s="5"/>
      <c r="C307" s="5"/>
      <c r="D307" s="5"/>
      <c r="E307" s="5"/>
      <c r="F307" s="5"/>
      <c r="G307" s="4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5.75" customHeight="1" x14ac:dyDescent="0.2">
      <c r="A308" s="5"/>
      <c r="B308" s="5"/>
      <c r="C308" s="5"/>
      <c r="D308" s="5"/>
      <c r="E308" s="5"/>
      <c r="F308" s="5"/>
      <c r="G308" s="4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5.75" customHeight="1" x14ac:dyDescent="0.2">
      <c r="A309" s="5"/>
      <c r="B309" s="5"/>
      <c r="C309" s="5"/>
      <c r="D309" s="5"/>
      <c r="E309" s="5"/>
      <c r="F309" s="5"/>
      <c r="G309" s="4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5.75" customHeight="1" x14ac:dyDescent="0.2">
      <c r="A310" s="5"/>
      <c r="B310" s="5"/>
      <c r="C310" s="5"/>
      <c r="D310" s="5"/>
      <c r="E310" s="5"/>
      <c r="F310" s="5"/>
      <c r="G310" s="4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5.75" customHeight="1" x14ac:dyDescent="0.2">
      <c r="A311" s="5"/>
      <c r="B311" s="5"/>
      <c r="C311" s="5"/>
      <c r="D311" s="5"/>
      <c r="E311" s="5"/>
      <c r="F311" s="5"/>
      <c r="G311" s="4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5.75" customHeight="1" x14ac:dyDescent="0.2">
      <c r="A312" s="5"/>
      <c r="B312" s="5"/>
      <c r="C312" s="5"/>
      <c r="D312" s="5"/>
      <c r="E312" s="5"/>
      <c r="F312" s="5"/>
      <c r="G312" s="4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5.75" customHeight="1" x14ac:dyDescent="0.2">
      <c r="A313" s="5"/>
      <c r="B313" s="5"/>
      <c r="C313" s="5"/>
      <c r="D313" s="5"/>
      <c r="E313" s="5"/>
      <c r="F313" s="5"/>
      <c r="G313" s="4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5.75" customHeight="1" x14ac:dyDescent="0.2">
      <c r="A314" s="5"/>
      <c r="B314" s="5"/>
      <c r="C314" s="5"/>
      <c r="D314" s="5"/>
      <c r="E314" s="5"/>
      <c r="F314" s="5"/>
      <c r="G314" s="4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5.75" customHeight="1" x14ac:dyDescent="0.2">
      <c r="A315" s="5"/>
      <c r="B315" s="5"/>
      <c r="C315" s="5"/>
      <c r="D315" s="5"/>
      <c r="E315" s="5"/>
      <c r="F315" s="5"/>
      <c r="G315" s="4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5.75" customHeight="1" x14ac:dyDescent="0.2">
      <c r="A316" s="5"/>
      <c r="B316" s="5"/>
      <c r="C316" s="5"/>
      <c r="D316" s="5"/>
      <c r="E316" s="5"/>
      <c r="F316" s="5"/>
      <c r="G316" s="4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5.75" customHeight="1" x14ac:dyDescent="0.2">
      <c r="A317" s="5"/>
      <c r="B317" s="5"/>
      <c r="C317" s="5"/>
      <c r="D317" s="5"/>
      <c r="E317" s="5"/>
      <c r="F317" s="5"/>
      <c r="G317" s="4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5.75" customHeight="1" x14ac:dyDescent="0.2">
      <c r="A318" s="5"/>
      <c r="B318" s="5"/>
      <c r="C318" s="5"/>
      <c r="D318" s="5"/>
      <c r="E318" s="5"/>
      <c r="F318" s="5"/>
      <c r="G318" s="4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5.75" customHeight="1" x14ac:dyDescent="0.2">
      <c r="A319" s="5"/>
      <c r="B319" s="5"/>
      <c r="C319" s="5"/>
      <c r="D319" s="5"/>
      <c r="E319" s="5"/>
      <c r="F319" s="5"/>
      <c r="G319" s="4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5.75" customHeight="1" x14ac:dyDescent="0.2">
      <c r="A320" s="5"/>
      <c r="B320" s="5"/>
      <c r="C320" s="5"/>
      <c r="D320" s="5"/>
      <c r="E320" s="5"/>
      <c r="F320" s="5"/>
      <c r="G320" s="4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5.75" customHeight="1" x14ac:dyDescent="0.2">
      <c r="A321" s="5"/>
      <c r="B321" s="5"/>
      <c r="C321" s="5"/>
      <c r="D321" s="5"/>
      <c r="E321" s="5"/>
      <c r="F321" s="5"/>
      <c r="G321" s="4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5.75" customHeight="1" x14ac:dyDescent="0.2">
      <c r="A322" s="5"/>
      <c r="B322" s="5"/>
      <c r="C322" s="5"/>
      <c r="D322" s="5"/>
      <c r="E322" s="5"/>
      <c r="F322" s="5"/>
      <c r="G322" s="4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5.75" customHeight="1" x14ac:dyDescent="0.2">
      <c r="A323" s="5"/>
      <c r="B323" s="5"/>
      <c r="C323" s="5"/>
      <c r="D323" s="5"/>
      <c r="E323" s="5"/>
      <c r="F323" s="5"/>
      <c r="G323" s="4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5.75" customHeight="1" x14ac:dyDescent="0.2">
      <c r="A324" s="5"/>
      <c r="B324" s="5"/>
      <c r="C324" s="5"/>
      <c r="D324" s="5"/>
      <c r="E324" s="5"/>
      <c r="F324" s="5"/>
      <c r="G324" s="4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5.75" customHeight="1" x14ac:dyDescent="0.2">
      <c r="A325" s="5"/>
      <c r="B325" s="5"/>
      <c r="C325" s="5"/>
      <c r="D325" s="5"/>
      <c r="E325" s="5"/>
      <c r="F325" s="5"/>
      <c r="G325" s="4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5.75" customHeight="1" x14ac:dyDescent="0.2">
      <c r="A326" s="5"/>
      <c r="B326" s="5"/>
      <c r="C326" s="5"/>
      <c r="D326" s="5"/>
      <c r="E326" s="5"/>
      <c r="F326" s="5"/>
      <c r="G326" s="4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5.75" customHeight="1" x14ac:dyDescent="0.2">
      <c r="A327" s="5"/>
      <c r="B327" s="5"/>
      <c r="C327" s="5"/>
      <c r="D327" s="5"/>
      <c r="E327" s="5"/>
      <c r="F327" s="5"/>
      <c r="G327" s="4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5.75" customHeight="1" x14ac:dyDescent="0.2">
      <c r="A328" s="5"/>
      <c r="B328" s="5"/>
      <c r="C328" s="5"/>
      <c r="D328" s="5"/>
      <c r="E328" s="5"/>
      <c r="F328" s="5"/>
      <c r="G328" s="4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5.75" customHeight="1" x14ac:dyDescent="0.2">
      <c r="A329" s="5"/>
      <c r="B329" s="5"/>
      <c r="C329" s="5"/>
      <c r="D329" s="5"/>
      <c r="E329" s="5"/>
      <c r="F329" s="5"/>
      <c r="G329" s="4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5.75" customHeight="1" x14ac:dyDescent="0.2">
      <c r="A330" s="5"/>
      <c r="B330" s="5"/>
      <c r="C330" s="5"/>
      <c r="D330" s="5"/>
      <c r="E330" s="5"/>
      <c r="F330" s="5"/>
      <c r="G330" s="4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5.75" customHeight="1" x14ac:dyDescent="0.2">
      <c r="A331" s="5"/>
      <c r="B331" s="5"/>
      <c r="C331" s="5"/>
      <c r="D331" s="5"/>
      <c r="E331" s="5"/>
      <c r="F331" s="5"/>
      <c r="G331" s="4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5.75" customHeight="1" x14ac:dyDescent="0.2">
      <c r="A332" s="5"/>
      <c r="B332" s="5"/>
      <c r="C332" s="5"/>
      <c r="D332" s="5"/>
      <c r="E332" s="5"/>
      <c r="F332" s="5"/>
      <c r="G332" s="4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5.75" customHeight="1" x14ac:dyDescent="0.2">
      <c r="A333" s="5"/>
      <c r="B333" s="5"/>
      <c r="C333" s="5"/>
      <c r="D333" s="5"/>
      <c r="E333" s="5"/>
      <c r="F333" s="5"/>
      <c r="G333" s="4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.75" customHeight="1" x14ac:dyDescent="0.2">
      <c r="A334" s="5"/>
      <c r="B334" s="5"/>
      <c r="C334" s="5"/>
      <c r="D334" s="5"/>
      <c r="E334" s="5"/>
      <c r="F334" s="5"/>
      <c r="G334" s="4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5.75" customHeight="1" x14ac:dyDescent="0.2">
      <c r="A335" s="5"/>
      <c r="B335" s="5"/>
      <c r="C335" s="5"/>
      <c r="D335" s="5"/>
      <c r="E335" s="5"/>
      <c r="F335" s="5"/>
      <c r="G335" s="4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5.75" customHeight="1" x14ac:dyDescent="0.2">
      <c r="A336" s="5"/>
      <c r="B336" s="5"/>
      <c r="C336" s="5"/>
      <c r="D336" s="5"/>
      <c r="E336" s="5"/>
      <c r="F336" s="5"/>
      <c r="G336" s="4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5.75" customHeight="1" x14ac:dyDescent="0.2">
      <c r="A337" s="5"/>
      <c r="B337" s="5"/>
      <c r="C337" s="5"/>
      <c r="D337" s="5"/>
      <c r="E337" s="5"/>
      <c r="F337" s="5"/>
      <c r="G337" s="4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5.75" customHeight="1" x14ac:dyDescent="0.2">
      <c r="A338" s="5"/>
      <c r="B338" s="5"/>
      <c r="C338" s="5"/>
      <c r="D338" s="5"/>
      <c r="E338" s="5"/>
      <c r="F338" s="5"/>
      <c r="G338" s="4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5.75" customHeight="1" x14ac:dyDescent="0.2">
      <c r="A339" s="5"/>
      <c r="B339" s="5"/>
      <c r="C339" s="5"/>
      <c r="D339" s="5"/>
      <c r="E339" s="5"/>
      <c r="F339" s="5"/>
      <c r="G339" s="4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5.75" customHeight="1" x14ac:dyDescent="0.2">
      <c r="A340" s="5"/>
      <c r="B340" s="5"/>
      <c r="C340" s="5"/>
      <c r="D340" s="5"/>
      <c r="E340" s="5"/>
      <c r="F340" s="5"/>
      <c r="G340" s="4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5.75" customHeight="1" x14ac:dyDescent="0.2">
      <c r="A341" s="5"/>
      <c r="B341" s="5"/>
      <c r="C341" s="5"/>
      <c r="D341" s="5"/>
      <c r="E341" s="5"/>
      <c r="F341" s="5"/>
      <c r="G341" s="4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5.75" customHeight="1" x14ac:dyDescent="0.2">
      <c r="A342" s="5"/>
      <c r="B342" s="5"/>
      <c r="C342" s="5"/>
      <c r="D342" s="5"/>
      <c r="E342" s="5"/>
      <c r="F342" s="5"/>
      <c r="G342" s="4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5.75" customHeight="1" x14ac:dyDescent="0.2">
      <c r="A343" s="5"/>
      <c r="B343" s="5"/>
      <c r="C343" s="5"/>
      <c r="D343" s="5"/>
      <c r="E343" s="5"/>
      <c r="F343" s="5"/>
      <c r="G343" s="4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5.75" customHeight="1" x14ac:dyDescent="0.2">
      <c r="A344" s="5"/>
      <c r="B344" s="5"/>
      <c r="C344" s="5"/>
      <c r="D344" s="5"/>
      <c r="E344" s="5"/>
      <c r="F344" s="5"/>
      <c r="G344" s="4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5.75" customHeight="1" x14ac:dyDescent="0.2">
      <c r="A345" s="5"/>
      <c r="B345" s="5"/>
      <c r="C345" s="5"/>
      <c r="D345" s="5"/>
      <c r="E345" s="5"/>
      <c r="F345" s="5"/>
      <c r="G345" s="4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5.75" customHeight="1" x14ac:dyDescent="0.2">
      <c r="A346" s="5"/>
      <c r="B346" s="5"/>
      <c r="C346" s="5"/>
      <c r="D346" s="5"/>
      <c r="E346" s="5"/>
      <c r="F346" s="5"/>
      <c r="G346" s="4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5.75" customHeight="1" x14ac:dyDescent="0.2">
      <c r="A347" s="5"/>
      <c r="B347" s="5"/>
      <c r="C347" s="5"/>
      <c r="D347" s="5"/>
      <c r="E347" s="5"/>
      <c r="F347" s="5"/>
      <c r="G347" s="4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5.75" customHeight="1" x14ac:dyDescent="0.2">
      <c r="A348" s="5"/>
      <c r="B348" s="5"/>
      <c r="C348" s="5"/>
      <c r="D348" s="5"/>
      <c r="E348" s="5"/>
      <c r="F348" s="5"/>
      <c r="G348" s="4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.75" customHeight="1" x14ac:dyDescent="0.2">
      <c r="A349" s="5"/>
      <c r="B349" s="5"/>
      <c r="C349" s="5"/>
      <c r="D349" s="5"/>
      <c r="E349" s="5"/>
      <c r="F349" s="5"/>
      <c r="G349" s="4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5.75" customHeight="1" x14ac:dyDescent="0.2">
      <c r="A350" s="5"/>
      <c r="B350" s="5"/>
      <c r="C350" s="5"/>
      <c r="D350" s="5"/>
      <c r="E350" s="5"/>
      <c r="F350" s="5"/>
      <c r="G350" s="4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5.75" customHeight="1" x14ac:dyDescent="0.2">
      <c r="A351" s="5"/>
      <c r="B351" s="5"/>
      <c r="C351" s="5"/>
      <c r="D351" s="5"/>
      <c r="E351" s="5"/>
      <c r="F351" s="5"/>
      <c r="G351" s="4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5.75" customHeight="1" x14ac:dyDescent="0.2">
      <c r="A352" s="5"/>
      <c r="B352" s="5"/>
      <c r="C352" s="5"/>
      <c r="D352" s="5"/>
      <c r="E352" s="5"/>
      <c r="F352" s="5"/>
      <c r="G352" s="4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5.75" customHeight="1" x14ac:dyDescent="0.2">
      <c r="A353" s="5"/>
      <c r="B353" s="5"/>
      <c r="C353" s="5"/>
      <c r="D353" s="5"/>
      <c r="E353" s="5"/>
      <c r="F353" s="5"/>
      <c r="G353" s="4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5.75" customHeight="1" x14ac:dyDescent="0.2">
      <c r="A354" s="5"/>
      <c r="B354" s="5"/>
      <c r="C354" s="5"/>
      <c r="D354" s="5"/>
      <c r="E354" s="5"/>
      <c r="F354" s="5"/>
      <c r="G354" s="4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5.75" customHeight="1" x14ac:dyDescent="0.2">
      <c r="A355" s="5"/>
      <c r="B355" s="5"/>
      <c r="C355" s="5"/>
      <c r="D355" s="5"/>
      <c r="E355" s="5"/>
      <c r="F355" s="5"/>
      <c r="G355" s="4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5.75" customHeight="1" x14ac:dyDescent="0.2">
      <c r="A356" s="5"/>
      <c r="B356" s="5"/>
      <c r="C356" s="5"/>
      <c r="D356" s="5"/>
      <c r="E356" s="5"/>
      <c r="F356" s="5"/>
      <c r="G356" s="4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5.75" customHeight="1" x14ac:dyDescent="0.2">
      <c r="A357" s="5"/>
      <c r="B357" s="5"/>
      <c r="C357" s="5"/>
      <c r="D357" s="5"/>
      <c r="E357" s="5"/>
      <c r="F357" s="5"/>
      <c r="G357" s="4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5.75" customHeight="1" x14ac:dyDescent="0.2">
      <c r="A358" s="5"/>
      <c r="B358" s="5"/>
      <c r="C358" s="5"/>
      <c r="D358" s="5"/>
      <c r="E358" s="5"/>
      <c r="F358" s="5"/>
      <c r="G358" s="4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5.75" customHeight="1" x14ac:dyDescent="0.2">
      <c r="A359" s="5"/>
      <c r="B359" s="5"/>
      <c r="C359" s="5"/>
      <c r="D359" s="5"/>
      <c r="E359" s="5"/>
      <c r="F359" s="5"/>
      <c r="G359" s="4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5.75" customHeight="1" x14ac:dyDescent="0.2">
      <c r="A360" s="5"/>
      <c r="B360" s="5"/>
      <c r="C360" s="5"/>
      <c r="D360" s="5"/>
      <c r="E360" s="5"/>
      <c r="F360" s="5"/>
      <c r="G360" s="4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.75" customHeight="1" x14ac:dyDescent="0.2">
      <c r="A361" s="5"/>
      <c r="B361" s="5"/>
      <c r="C361" s="5"/>
      <c r="D361" s="5"/>
      <c r="E361" s="5"/>
      <c r="F361" s="5"/>
      <c r="G361" s="4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.75" customHeight="1" x14ac:dyDescent="0.2">
      <c r="A362" s="5"/>
      <c r="B362" s="5"/>
      <c r="C362" s="5"/>
      <c r="D362" s="5"/>
      <c r="E362" s="5"/>
      <c r="F362" s="5"/>
      <c r="G362" s="4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5.75" customHeight="1" x14ac:dyDescent="0.2">
      <c r="A363" s="5"/>
      <c r="B363" s="5"/>
      <c r="C363" s="5"/>
      <c r="D363" s="5"/>
      <c r="E363" s="5"/>
      <c r="F363" s="5"/>
      <c r="G363" s="4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5.75" customHeight="1" x14ac:dyDescent="0.2">
      <c r="A364" s="5"/>
      <c r="B364" s="5"/>
      <c r="C364" s="5"/>
      <c r="D364" s="5"/>
      <c r="E364" s="5"/>
      <c r="F364" s="5"/>
      <c r="G364" s="4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.75" customHeight="1" x14ac:dyDescent="0.2">
      <c r="A365" s="5"/>
      <c r="B365" s="5"/>
      <c r="C365" s="5"/>
      <c r="D365" s="5"/>
      <c r="E365" s="5"/>
      <c r="F365" s="5"/>
      <c r="G365" s="4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5.75" customHeight="1" x14ac:dyDescent="0.2">
      <c r="A366" s="5"/>
      <c r="B366" s="5"/>
      <c r="C366" s="5"/>
      <c r="D366" s="5"/>
      <c r="E366" s="5"/>
      <c r="F366" s="5"/>
      <c r="G366" s="4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5.75" customHeight="1" x14ac:dyDescent="0.2">
      <c r="A367" s="5"/>
      <c r="B367" s="5"/>
      <c r="C367" s="5"/>
      <c r="D367" s="5"/>
      <c r="E367" s="5"/>
      <c r="F367" s="5"/>
      <c r="G367" s="4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.75" customHeight="1" x14ac:dyDescent="0.2">
      <c r="A368" s="5"/>
      <c r="B368" s="5"/>
      <c r="C368" s="5"/>
      <c r="D368" s="5"/>
      <c r="E368" s="5"/>
      <c r="F368" s="5"/>
      <c r="G368" s="4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5.75" customHeight="1" x14ac:dyDescent="0.2">
      <c r="A369" s="5"/>
      <c r="B369" s="5"/>
      <c r="C369" s="5"/>
      <c r="D369" s="5"/>
      <c r="E369" s="5"/>
      <c r="F369" s="5"/>
      <c r="G369" s="4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5.75" customHeight="1" x14ac:dyDescent="0.2">
      <c r="A370" s="5"/>
      <c r="B370" s="5"/>
      <c r="C370" s="5"/>
      <c r="D370" s="5"/>
      <c r="E370" s="5"/>
      <c r="F370" s="5"/>
      <c r="G370" s="4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5.75" customHeight="1" x14ac:dyDescent="0.2">
      <c r="A371" s="5"/>
      <c r="B371" s="5"/>
      <c r="C371" s="5"/>
      <c r="D371" s="5"/>
      <c r="E371" s="5"/>
      <c r="F371" s="5"/>
      <c r="G371" s="4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5.75" customHeight="1" x14ac:dyDescent="0.2">
      <c r="A372" s="5"/>
      <c r="B372" s="5"/>
      <c r="C372" s="5"/>
      <c r="D372" s="5"/>
      <c r="E372" s="5"/>
      <c r="F372" s="5"/>
      <c r="G372" s="4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5.75" customHeight="1" x14ac:dyDescent="0.2">
      <c r="A373" s="5"/>
      <c r="B373" s="5"/>
      <c r="C373" s="5"/>
      <c r="D373" s="5"/>
      <c r="E373" s="5"/>
      <c r="F373" s="5"/>
      <c r="G373" s="4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5.75" customHeight="1" x14ac:dyDescent="0.2">
      <c r="A374" s="5"/>
      <c r="B374" s="5"/>
      <c r="C374" s="5"/>
      <c r="D374" s="5"/>
      <c r="E374" s="5"/>
      <c r="F374" s="5"/>
      <c r="G374" s="4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5.75" customHeight="1" x14ac:dyDescent="0.2">
      <c r="A375" s="5"/>
      <c r="B375" s="5"/>
      <c r="C375" s="5"/>
      <c r="D375" s="5"/>
      <c r="E375" s="5"/>
      <c r="F375" s="5"/>
      <c r="G375" s="4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5.75" customHeight="1" x14ac:dyDescent="0.2">
      <c r="A376" s="5"/>
      <c r="B376" s="5"/>
      <c r="C376" s="5"/>
      <c r="D376" s="5"/>
      <c r="E376" s="5"/>
      <c r="F376" s="5"/>
      <c r="G376" s="4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5.75" customHeight="1" x14ac:dyDescent="0.2">
      <c r="A377" s="5"/>
      <c r="B377" s="5"/>
      <c r="C377" s="5"/>
      <c r="D377" s="5"/>
      <c r="E377" s="5"/>
      <c r="F377" s="5"/>
      <c r="G377" s="4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5.75" customHeight="1" x14ac:dyDescent="0.2">
      <c r="A378" s="5"/>
      <c r="B378" s="5"/>
      <c r="C378" s="5"/>
      <c r="D378" s="5"/>
      <c r="E378" s="5"/>
      <c r="F378" s="5"/>
      <c r="G378" s="4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5.75" customHeight="1" x14ac:dyDescent="0.2">
      <c r="A379" s="5"/>
      <c r="B379" s="5"/>
      <c r="C379" s="5"/>
      <c r="D379" s="5"/>
      <c r="E379" s="5"/>
      <c r="F379" s="5"/>
      <c r="G379" s="4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5.75" customHeight="1" x14ac:dyDescent="0.2">
      <c r="A380" s="5"/>
      <c r="B380" s="5"/>
      <c r="C380" s="5"/>
      <c r="D380" s="5"/>
      <c r="E380" s="5"/>
      <c r="F380" s="5"/>
      <c r="G380" s="4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5.75" customHeight="1" x14ac:dyDescent="0.2">
      <c r="A381" s="5"/>
      <c r="B381" s="5"/>
      <c r="C381" s="5"/>
      <c r="D381" s="5"/>
      <c r="E381" s="5"/>
      <c r="F381" s="5"/>
      <c r="G381" s="4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5.75" customHeight="1" x14ac:dyDescent="0.2">
      <c r="A382" s="5"/>
      <c r="B382" s="5"/>
      <c r="C382" s="5"/>
      <c r="D382" s="5"/>
      <c r="E382" s="5"/>
      <c r="F382" s="5"/>
      <c r="G382" s="4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5.75" customHeight="1" x14ac:dyDescent="0.2">
      <c r="A383" s="5"/>
      <c r="B383" s="5"/>
      <c r="C383" s="5"/>
      <c r="D383" s="5"/>
      <c r="E383" s="5"/>
      <c r="F383" s="5"/>
      <c r="G383" s="4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5.75" customHeight="1" x14ac:dyDescent="0.2">
      <c r="A384" s="5"/>
      <c r="B384" s="5"/>
      <c r="C384" s="5"/>
      <c r="D384" s="5"/>
      <c r="E384" s="5"/>
      <c r="F384" s="5"/>
      <c r="G384" s="4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5.75" customHeight="1" x14ac:dyDescent="0.2">
      <c r="A385" s="5"/>
      <c r="B385" s="5"/>
      <c r="C385" s="5"/>
      <c r="D385" s="5"/>
      <c r="E385" s="5"/>
      <c r="F385" s="5"/>
      <c r="G385" s="4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5.75" customHeight="1" x14ac:dyDescent="0.2">
      <c r="A386" s="5"/>
      <c r="B386" s="5"/>
      <c r="C386" s="5"/>
      <c r="D386" s="5"/>
      <c r="E386" s="5"/>
      <c r="F386" s="5"/>
      <c r="G386" s="4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5.75" customHeight="1" x14ac:dyDescent="0.2">
      <c r="A387" s="5"/>
      <c r="B387" s="5"/>
      <c r="C387" s="5"/>
      <c r="D387" s="5"/>
      <c r="E387" s="5"/>
      <c r="F387" s="5"/>
      <c r="G387" s="4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5.75" customHeight="1" x14ac:dyDescent="0.2">
      <c r="A388" s="5"/>
      <c r="B388" s="5"/>
      <c r="C388" s="5"/>
      <c r="D388" s="5"/>
      <c r="E388" s="5"/>
      <c r="F388" s="5"/>
      <c r="G388" s="4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5.75" customHeight="1" x14ac:dyDescent="0.2">
      <c r="A389" s="5"/>
      <c r="B389" s="5"/>
      <c r="C389" s="5"/>
      <c r="D389" s="5"/>
      <c r="E389" s="5"/>
      <c r="F389" s="5"/>
      <c r="G389" s="4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5.75" customHeight="1" x14ac:dyDescent="0.2">
      <c r="A390" s="5"/>
      <c r="B390" s="5"/>
      <c r="C390" s="5"/>
      <c r="D390" s="5"/>
      <c r="E390" s="5"/>
      <c r="F390" s="5"/>
      <c r="G390" s="4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5.75" customHeight="1" x14ac:dyDescent="0.2">
      <c r="A391" s="5"/>
      <c r="B391" s="5"/>
      <c r="C391" s="5"/>
      <c r="D391" s="5"/>
      <c r="E391" s="5"/>
      <c r="F391" s="5"/>
      <c r="G391" s="4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5.75" customHeight="1" x14ac:dyDescent="0.2">
      <c r="A392" s="5"/>
      <c r="B392" s="5"/>
      <c r="C392" s="5"/>
      <c r="D392" s="5"/>
      <c r="E392" s="5"/>
      <c r="F392" s="5"/>
      <c r="G392" s="4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5.75" customHeight="1" x14ac:dyDescent="0.2">
      <c r="A393" s="5"/>
      <c r="B393" s="5"/>
      <c r="C393" s="5"/>
      <c r="D393" s="5"/>
      <c r="E393" s="5"/>
      <c r="F393" s="5"/>
      <c r="G393" s="4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5.75" customHeight="1" x14ac:dyDescent="0.2">
      <c r="A394" s="5"/>
      <c r="B394" s="5"/>
      <c r="C394" s="5"/>
      <c r="D394" s="5"/>
      <c r="E394" s="5"/>
      <c r="F394" s="5"/>
      <c r="G394" s="4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5.75" customHeight="1" x14ac:dyDescent="0.2">
      <c r="A395" s="5"/>
      <c r="B395" s="5"/>
      <c r="C395" s="5"/>
      <c r="D395" s="5"/>
      <c r="E395" s="5"/>
      <c r="F395" s="5"/>
      <c r="G395" s="4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5.75" customHeight="1" x14ac:dyDescent="0.2">
      <c r="A396" s="5"/>
      <c r="B396" s="5"/>
      <c r="C396" s="5"/>
      <c r="D396" s="5"/>
      <c r="E396" s="5"/>
      <c r="F396" s="5"/>
      <c r="G396" s="4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5.75" customHeight="1" x14ac:dyDescent="0.2">
      <c r="A397" s="5"/>
      <c r="B397" s="5"/>
      <c r="C397" s="5"/>
      <c r="D397" s="5"/>
      <c r="E397" s="5"/>
      <c r="F397" s="5"/>
      <c r="G397" s="4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5.75" customHeight="1" x14ac:dyDescent="0.2">
      <c r="A398" s="5"/>
      <c r="B398" s="5"/>
      <c r="C398" s="5"/>
      <c r="D398" s="5"/>
      <c r="E398" s="5"/>
      <c r="F398" s="5"/>
      <c r="G398" s="4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5.75" customHeight="1" x14ac:dyDescent="0.2">
      <c r="A399" s="5"/>
      <c r="B399" s="5"/>
      <c r="C399" s="5"/>
      <c r="D399" s="5"/>
      <c r="E399" s="5"/>
      <c r="F399" s="5"/>
      <c r="G399" s="4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5.75" customHeight="1" x14ac:dyDescent="0.2">
      <c r="A400" s="5"/>
      <c r="B400" s="5"/>
      <c r="C400" s="5"/>
      <c r="D400" s="5"/>
      <c r="E400" s="5"/>
      <c r="F400" s="5"/>
      <c r="G400" s="4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5.75" customHeight="1" x14ac:dyDescent="0.2">
      <c r="A401" s="5"/>
      <c r="B401" s="5"/>
      <c r="C401" s="5"/>
      <c r="D401" s="5"/>
      <c r="E401" s="5"/>
      <c r="F401" s="5"/>
      <c r="G401" s="4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5.75" customHeight="1" x14ac:dyDescent="0.2">
      <c r="A402" s="5"/>
      <c r="B402" s="5"/>
      <c r="C402" s="5"/>
      <c r="D402" s="5"/>
      <c r="E402" s="5"/>
      <c r="F402" s="5"/>
      <c r="G402" s="4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5.75" customHeight="1" x14ac:dyDescent="0.2">
      <c r="A403" s="5"/>
      <c r="B403" s="5"/>
      <c r="C403" s="5"/>
      <c r="D403" s="5"/>
      <c r="E403" s="5"/>
      <c r="F403" s="5"/>
      <c r="G403" s="4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5.75" customHeight="1" x14ac:dyDescent="0.2">
      <c r="A404" s="5"/>
      <c r="B404" s="5"/>
      <c r="C404" s="5"/>
      <c r="D404" s="5"/>
      <c r="E404" s="5"/>
      <c r="F404" s="5"/>
      <c r="G404" s="4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5.75" customHeight="1" x14ac:dyDescent="0.2">
      <c r="A405" s="5"/>
      <c r="B405" s="5"/>
      <c r="C405" s="5"/>
      <c r="D405" s="5"/>
      <c r="E405" s="5"/>
      <c r="F405" s="5"/>
      <c r="G405" s="4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5.75" customHeight="1" x14ac:dyDescent="0.2">
      <c r="A406" s="5"/>
      <c r="B406" s="5"/>
      <c r="C406" s="5"/>
      <c r="D406" s="5"/>
      <c r="E406" s="5"/>
      <c r="F406" s="5"/>
      <c r="G406" s="4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5.75" customHeight="1" x14ac:dyDescent="0.2">
      <c r="A407" s="5"/>
      <c r="B407" s="5"/>
      <c r="C407" s="5"/>
      <c r="D407" s="5"/>
      <c r="E407" s="5"/>
      <c r="F407" s="5"/>
      <c r="G407" s="4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5.75" customHeight="1" x14ac:dyDescent="0.2">
      <c r="A408" s="5"/>
      <c r="B408" s="5"/>
      <c r="C408" s="5"/>
      <c r="D408" s="5"/>
      <c r="E408" s="5"/>
      <c r="F408" s="5"/>
      <c r="G408" s="4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5.75" customHeight="1" x14ac:dyDescent="0.2">
      <c r="A409" s="5"/>
      <c r="B409" s="5"/>
      <c r="C409" s="5"/>
      <c r="D409" s="5"/>
      <c r="E409" s="5"/>
      <c r="F409" s="5"/>
      <c r="G409" s="4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5.75" customHeight="1" x14ac:dyDescent="0.2">
      <c r="A410" s="5"/>
      <c r="B410" s="5"/>
      <c r="C410" s="5"/>
      <c r="D410" s="5"/>
      <c r="E410" s="5"/>
      <c r="F410" s="5"/>
      <c r="G410" s="4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5.75" customHeight="1" x14ac:dyDescent="0.2">
      <c r="A411" s="5"/>
      <c r="B411" s="5"/>
      <c r="C411" s="5"/>
      <c r="D411" s="5"/>
      <c r="E411" s="5"/>
      <c r="F411" s="5"/>
      <c r="G411" s="4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5.75" customHeight="1" x14ac:dyDescent="0.2">
      <c r="A412" s="5"/>
      <c r="B412" s="5"/>
      <c r="C412" s="5"/>
      <c r="D412" s="5"/>
      <c r="E412" s="5"/>
      <c r="F412" s="5"/>
      <c r="G412" s="4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5.75" customHeight="1" x14ac:dyDescent="0.2">
      <c r="A413" s="5"/>
      <c r="B413" s="5"/>
      <c r="C413" s="5"/>
      <c r="D413" s="5"/>
      <c r="E413" s="5"/>
      <c r="F413" s="5"/>
      <c r="G413" s="4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5.75" customHeight="1" x14ac:dyDescent="0.2">
      <c r="A414" s="5"/>
      <c r="B414" s="5"/>
      <c r="C414" s="5"/>
      <c r="D414" s="5"/>
      <c r="E414" s="5"/>
      <c r="F414" s="5"/>
      <c r="G414" s="4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5.75" customHeight="1" x14ac:dyDescent="0.2">
      <c r="A415" s="5"/>
      <c r="B415" s="5"/>
      <c r="C415" s="5"/>
      <c r="D415" s="5"/>
      <c r="E415" s="5"/>
      <c r="F415" s="5"/>
      <c r="G415" s="4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5.75" customHeight="1" x14ac:dyDescent="0.2">
      <c r="A416" s="5"/>
      <c r="B416" s="5"/>
      <c r="C416" s="5"/>
      <c r="D416" s="5"/>
      <c r="E416" s="5"/>
      <c r="F416" s="5"/>
      <c r="G416" s="4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5.75" customHeight="1" x14ac:dyDescent="0.2">
      <c r="A417" s="5"/>
      <c r="B417" s="5"/>
      <c r="C417" s="5"/>
      <c r="D417" s="5"/>
      <c r="E417" s="5"/>
      <c r="F417" s="5"/>
      <c r="G417" s="4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5.75" customHeight="1" x14ac:dyDescent="0.2">
      <c r="A418" s="5"/>
      <c r="B418" s="5"/>
      <c r="C418" s="5"/>
      <c r="D418" s="5"/>
      <c r="E418" s="5"/>
      <c r="F418" s="5"/>
      <c r="G418" s="4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5.75" customHeight="1" x14ac:dyDescent="0.2">
      <c r="A419" s="5"/>
      <c r="B419" s="5"/>
      <c r="C419" s="5"/>
      <c r="D419" s="5"/>
      <c r="E419" s="5"/>
      <c r="F419" s="5"/>
      <c r="G419" s="4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5.75" customHeight="1" x14ac:dyDescent="0.2">
      <c r="A420" s="5"/>
      <c r="B420" s="5"/>
      <c r="C420" s="5"/>
      <c r="D420" s="5"/>
      <c r="E420" s="5"/>
      <c r="F420" s="5"/>
      <c r="G420" s="4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5.75" customHeight="1" x14ac:dyDescent="0.2">
      <c r="A421" s="5"/>
      <c r="B421" s="5"/>
      <c r="C421" s="5"/>
      <c r="D421" s="5"/>
      <c r="E421" s="5"/>
      <c r="F421" s="5"/>
      <c r="G421" s="4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5.75" customHeight="1" x14ac:dyDescent="0.2">
      <c r="A422" s="5"/>
      <c r="B422" s="5"/>
      <c r="C422" s="5"/>
      <c r="D422" s="5"/>
      <c r="E422" s="5"/>
      <c r="F422" s="5"/>
      <c r="G422" s="4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5.75" customHeight="1" x14ac:dyDescent="0.2">
      <c r="A423" s="5"/>
      <c r="B423" s="5"/>
      <c r="C423" s="5"/>
      <c r="D423" s="5"/>
      <c r="E423" s="5"/>
      <c r="F423" s="5"/>
      <c r="G423" s="4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5.75" customHeight="1" x14ac:dyDescent="0.2">
      <c r="A424" s="5"/>
      <c r="B424" s="5"/>
      <c r="C424" s="5"/>
      <c r="D424" s="5"/>
      <c r="E424" s="5"/>
      <c r="F424" s="5"/>
      <c r="G424" s="4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5.75" customHeight="1" x14ac:dyDescent="0.2">
      <c r="A425" s="5"/>
      <c r="B425" s="5"/>
      <c r="C425" s="5"/>
      <c r="D425" s="5"/>
      <c r="E425" s="5"/>
      <c r="F425" s="5"/>
      <c r="G425" s="4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5.75" customHeight="1" x14ac:dyDescent="0.2">
      <c r="A426" s="5"/>
      <c r="B426" s="5"/>
      <c r="C426" s="5"/>
      <c r="D426" s="5"/>
      <c r="E426" s="5"/>
      <c r="F426" s="5"/>
      <c r="G426" s="4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5.75" customHeight="1" x14ac:dyDescent="0.2">
      <c r="A427" s="5"/>
      <c r="B427" s="5"/>
      <c r="C427" s="5"/>
      <c r="D427" s="5"/>
      <c r="E427" s="5"/>
      <c r="F427" s="5"/>
      <c r="G427" s="4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5.75" customHeight="1" x14ac:dyDescent="0.2">
      <c r="A428" s="5"/>
      <c r="B428" s="5"/>
      <c r="C428" s="5"/>
      <c r="D428" s="5"/>
      <c r="E428" s="5"/>
      <c r="F428" s="5"/>
      <c r="G428" s="4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5.75" customHeight="1" x14ac:dyDescent="0.2">
      <c r="A429" s="5"/>
      <c r="B429" s="5"/>
      <c r="C429" s="5"/>
      <c r="D429" s="5"/>
      <c r="E429" s="5"/>
      <c r="F429" s="5"/>
      <c r="G429" s="4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5.75" customHeight="1" x14ac:dyDescent="0.2">
      <c r="A430" s="5"/>
      <c r="B430" s="5"/>
      <c r="C430" s="5"/>
      <c r="D430" s="5"/>
      <c r="E430" s="5"/>
      <c r="F430" s="5"/>
      <c r="G430" s="4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5.75" customHeight="1" x14ac:dyDescent="0.2">
      <c r="A431" s="5"/>
      <c r="B431" s="5"/>
      <c r="C431" s="5"/>
      <c r="D431" s="5"/>
      <c r="E431" s="5"/>
      <c r="F431" s="5"/>
      <c r="G431" s="4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5.75" customHeight="1" x14ac:dyDescent="0.2">
      <c r="A432" s="5"/>
      <c r="B432" s="5"/>
      <c r="C432" s="5"/>
      <c r="D432" s="5"/>
      <c r="E432" s="5"/>
      <c r="F432" s="5"/>
      <c r="G432" s="4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5.75" customHeight="1" x14ac:dyDescent="0.2">
      <c r="A433" s="5"/>
      <c r="B433" s="5"/>
      <c r="C433" s="5"/>
      <c r="D433" s="5"/>
      <c r="E433" s="5"/>
      <c r="F433" s="5"/>
      <c r="G433" s="4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5.75" customHeight="1" x14ac:dyDescent="0.2">
      <c r="A434" s="5"/>
      <c r="B434" s="5"/>
      <c r="C434" s="5"/>
      <c r="D434" s="5"/>
      <c r="E434" s="5"/>
      <c r="F434" s="5"/>
      <c r="G434" s="4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5.75" customHeight="1" x14ac:dyDescent="0.2">
      <c r="A435" s="5"/>
      <c r="B435" s="5"/>
      <c r="C435" s="5"/>
      <c r="D435" s="5"/>
      <c r="E435" s="5"/>
      <c r="F435" s="5"/>
      <c r="G435" s="4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5.75" customHeight="1" x14ac:dyDescent="0.2">
      <c r="A436" s="5"/>
      <c r="B436" s="5"/>
      <c r="C436" s="5"/>
      <c r="D436" s="5"/>
      <c r="E436" s="5"/>
      <c r="F436" s="5"/>
      <c r="G436" s="4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5.75" customHeight="1" x14ac:dyDescent="0.2">
      <c r="A437" s="5"/>
      <c r="B437" s="5"/>
      <c r="C437" s="5"/>
      <c r="D437" s="5"/>
      <c r="E437" s="5"/>
      <c r="F437" s="5"/>
      <c r="G437" s="4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5.75" customHeight="1" x14ac:dyDescent="0.2">
      <c r="A438" s="5"/>
      <c r="B438" s="5"/>
      <c r="C438" s="5"/>
      <c r="D438" s="5"/>
      <c r="E438" s="5"/>
      <c r="F438" s="5"/>
      <c r="G438" s="4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5.75" customHeight="1" x14ac:dyDescent="0.2">
      <c r="A439" s="5"/>
      <c r="B439" s="5"/>
      <c r="C439" s="5"/>
      <c r="D439" s="5"/>
      <c r="E439" s="5"/>
      <c r="F439" s="5"/>
      <c r="G439" s="4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5.75" customHeight="1" x14ac:dyDescent="0.2">
      <c r="A440" s="5"/>
      <c r="B440" s="5"/>
      <c r="C440" s="5"/>
      <c r="D440" s="5"/>
      <c r="E440" s="5"/>
      <c r="F440" s="5"/>
      <c r="G440" s="4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5.75" customHeight="1" x14ac:dyDescent="0.2">
      <c r="A441" s="5"/>
      <c r="B441" s="5"/>
      <c r="C441" s="5"/>
      <c r="D441" s="5"/>
      <c r="E441" s="5"/>
      <c r="F441" s="5"/>
      <c r="G441" s="4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5.75" customHeight="1" x14ac:dyDescent="0.2">
      <c r="A442" s="5"/>
      <c r="B442" s="5"/>
      <c r="C442" s="5"/>
      <c r="D442" s="5"/>
      <c r="E442" s="5"/>
      <c r="F442" s="5"/>
      <c r="G442" s="4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5.75" customHeight="1" x14ac:dyDescent="0.2">
      <c r="A443" s="5"/>
      <c r="B443" s="5"/>
      <c r="C443" s="5"/>
      <c r="D443" s="5"/>
      <c r="E443" s="5"/>
      <c r="F443" s="5"/>
      <c r="G443" s="4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5.75" customHeight="1" x14ac:dyDescent="0.2">
      <c r="A444" s="5"/>
      <c r="B444" s="5"/>
      <c r="C444" s="5"/>
      <c r="D444" s="5"/>
      <c r="E444" s="5"/>
      <c r="F444" s="5"/>
      <c r="G444" s="4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5.75" customHeight="1" x14ac:dyDescent="0.2">
      <c r="A445" s="5"/>
      <c r="B445" s="5"/>
      <c r="C445" s="5"/>
      <c r="D445" s="5"/>
      <c r="E445" s="5"/>
      <c r="F445" s="5"/>
      <c r="G445" s="4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5.75" customHeight="1" x14ac:dyDescent="0.2">
      <c r="A446" s="5"/>
      <c r="B446" s="5"/>
      <c r="C446" s="5"/>
      <c r="D446" s="5"/>
      <c r="E446" s="5"/>
      <c r="F446" s="5"/>
      <c r="G446" s="4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5.75" customHeight="1" x14ac:dyDescent="0.2">
      <c r="A447" s="5"/>
      <c r="B447" s="5"/>
      <c r="C447" s="5"/>
      <c r="D447" s="5"/>
      <c r="E447" s="5"/>
      <c r="F447" s="5"/>
      <c r="G447" s="4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5.75" customHeight="1" x14ac:dyDescent="0.2">
      <c r="A448" s="5"/>
      <c r="B448" s="5"/>
      <c r="C448" s="5"/>
      <c r="D448" s="5"/>
      <c r="E448" s="5"/>
      <c r="F448" s="5"/>
      <c r="G448" s="4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5.75" customHeight="1" x14ac:dyDescent="0.2">
      <c r="A449" s="5"/>
      <c r="B449" s="5"/>
      <c r="C449" s="5"/>
      <c r="D449" s="5"/>
      <c r="E449" s="5"/>
      <c r="F449" s="5"/>
      <c r="G449" s="4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5.75" customHeight="1" x14ac:dyDescent="0.2">
      <c r="A450" s="5"/>
      <c r="B450" s="5"/>
      <c r="C450" s="5"/>
      <c r="D450" s="5"/>
      <c r="E450" s="5"/>
      <c r="F450" s="5"/>
      <c r="G450" s="4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5.75" customHeight="1" x14ac:dyDescent="0.2">
      <c r="A451" s="5"/>
      <c r="B451" s="5"/>
      <c r="C451" s="5"/>
      <c r="D451" s="5"/>
      <c r="E451" s="5"/>
      <c r="F451" s="5"/>
      <c r="G451" s="4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5.75" customHeight="1" x14ac:dyDescent="0.2">
      <c r="A452" s="5"/>
      <c r="B452" s="5"/>
      <c r="C452" s="5"/>
      <c r="D452" s="5"/>
      <c r="E452" s="5"/>
      <c r="F452" s="5"/>
      <c r="G452" s="4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5.75" customHeight="1" x14ac:dyDescent="0.2">
      <c r="A453" s="5"/>
      <c r="B453" s="5"/>
      <c r="C453" s="5"/>
      <c r="D453" s="5"/>
      <c r="E453" s="5"/>
      <c r="F453" s="5"/>
      <c r="G453" s="4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5.75" customHeight="1" x14ac:dyDescent="0.2">
      <c r="A454" s="5"/>
      <c r="B454" s="5"/>
      <c r="C454" s="5"/>
      <c r="D454" s="5"/>
      <c r="E454" s="5"/>
      <c r="F454" s="5"/>
      <c r="G454" s="4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5.75" customHeight="1" x14ac:dyDescent="0.2">
      <c r="A455" s="5"/>
      <c r="B455" s="5"/>
      <c r="C455" s="5"/>
      <c r="D455" s="5"/>
      <c r="E455" s="5"/>
      <c r="F455" s="5"/>
      <c r="G455" s="4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5.75" customHeight="1" x14ac:dyDescent="0.2">
      <c r="A456" s="5"/>
      <c r="B456" s="5"/>
      <c r="C456" s="5"/>
      <c r="D456" s="5"/>
      <c r="E456" s="5"/>
      <c r="F456" s="5"/>
      <c r="G456" s="4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5.75" customHeight="1" x14ac:dyDescent="0.2">
      <c r="A457" s="5"/>
      <c r="B457" s="5"/>
      <c r="C457" s="5"/>
      <c r="D457" s="5"/>
      <c r="E457" s="5"/>
      <c r="F457" s="5"/>
      <c r="G457" s="4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5.75" customHeight="1" x14ac:dyDescent="0.2">
      <c r="A458" s="5"/>
      <c r="B458" s="5"/>
      <c r="C458" s="5"/>
      <c r="D458" s="5"/>
      <c r="E458" s="5"/>
      <c r="F458" s="5"/>
      <c r="G458" s="4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5.75" customHeight="1" x14ac:dyDescent="0.2">
      <c r="A459" s="5"/>
      <c r="B459" s="5"/>
      <c r="C459" s="5"/>
      <c r="D459" s="5"/>
      <c r="E459" s="5"/>
      <c r="F459" s="5"/>
      <c r="G459" s="4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5.75" customHeight="1" x14ac:dyDescent="0.2">
      <c r="A460" s="5"/>
      <c r="B460" s="5"/>
      <c r="C460" s="5"/>
      <c r="D460" s="5"/>
      <c r="E460" s="5"/>
      <c r="F460" s="5"/>
      <c r="G460" s="4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5.75" customHeight="1" x14ac:dyDescent="0.2">
      <c r="A461" s="5"/>
      <c r="B461" s="5"/>
      <c r="C461" s="5"/>
      <c r="D461" s="5"/>
      <c r="E461" s="5"/>
      <c r="F461" s="5"/>
      <c r="G461" s="4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5.75" customHeight="1" x14ac:dyDescent="0.2">
      <c r="A462" s="5"/>
      <c r="B462" s="5"/>
      <c r="C462" s="5"/>
      <c r="D462" s="5"/>
      <c r="E462" s="5"/>
      <c r="F462" s="5"/>
      <c r="G462" s="4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.75" customHeight="1" x14ac:dyDescent="0.2">
      <c r="A463" s="5"/>
      <c r="B463" s="5"/>
      <c r="C463" s="5"/>
      <c r="D463" s="5"/>
      <c r="E463" s="5"/>
      <c r="F463" s="5"/>
      <c r="G463" s="4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5.75" customHeight="1" x14ac:dyDescent="0.2">
      <c r="A464" s="5"/>
      <c r="B464" s="5"/>
      <c r="C464" s="5"/>
      <c r="D464" s="5"/>
      <c r="E464" s="5"/>
      <c r="F464" s="5"/>
      <c r="G464" s="4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5.75" customHeight="1" x14ac:dyDescent="0.2">
      <c r="A465" s="5"/>
      <c r="B465" s="5"/>
      <c r="C465" s="5"/>
      <c r="D465" s="5"/>
      <c r="E465" s="5"/>
      <c r="F465" s="5"/>
      <c r="G465" s="4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5.75" customHeight="1" x14ac:dyDescent="0.2">
      <c r="A466" s="5"/>
      <c r="B466" s="5"/>
      <c r="C466" s="5"/>
      <c r="D466" s="5"/>
      <c r="E466" s="5"/>
      <c r="F466" s="5"/>
      <c r="G466" s="4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5.75" customHeight="1" x14ac:dyDescent="0.2">
      <c r="A467" s="5"/>
      <c r="B467" s="5"/>
      <c r="C467" s="5"/>
      <c r="D467" s="5"/>
      <c r="E467" s="5"/>
      <c r="F467" s="5"/>
      <c r="G467" s="4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5.75" customHeight="1" x14ac:dyDescent="0.2">
      <c r="A468" s="5"/>
      <c r="B468" s="5"/>
      <c r="C468" s="5"/>
      <c r="D468" s="5"/>
      <c r="E468" s="5"/>
      <c r="F468" s="5"/>
      <c r="G468" s="4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5.75" customHeight="1" x14ac:dyDescent="0.2">
      <c r="A469" s="5"/>
      <c r="B469" s="5"/>
      <c r="C469" s="5"/>
      <c r="D469" s="5"/>
      <c r="E469" s="5"/>
      <c r="F469" s="5"/>
      <c r="G469" s="4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5.75" customHeight="1" x14ac:dyDescent="0.2">
      <c r="A470" s="5"/>
      <c r="B470" s="5"/>
      <c r="C470" s="5"/>
      <c r="D470" s="5"/>
      <c r="E470" s="5"/>
      <c r="F470" s="5"/>
      <c r="G470" s="4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5.75" customHeight="1" x14ac:dyDescent="0.2">
      <c r="A471" s="5"/>
      <c r="B471" s="5"/>
      <c r="C471" s="5"/>
      <c r="D471" s="5"/>
      <c r="E471" s="5"/>
      <c r="F471" s="5"/>
      <c r="G471" s="4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5.75" customHeight="1" x14ac:dyDescent="0.2">
      <c r="A472" s="5"/>
      <c r="B472" s="5"/>
      <c r="C472" s="5"/>
      <c r="D472" s="5"/>
      <c r="E472" s="5"/>
      <c r="F472" s="5"/>
      <c r="G472" s="4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5.75" customHeight="1" x14ac:dyDescent="0.2">
      <c r="A473" s="5"/>
      <c r="B473" s="5"/>
      <c r="C473" s="5"/>
      <c r="D473" s="5"/>
      <c r="E473" s="5"/>
      <c r="F473" s="5"/>
      <c r="G473" s="4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5.75" customHeight="1" x14ac:dyDescent="0.2">
      <c r="A474" s="5"/>
      <c r="B474" s="5"/>
      <c r="C474" s="5"/>
      <c r="D474" s="5"/>
      <c r="E474" s="5"/>
      <c r="F474" s="5"/>
      <c r="G474" s="4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5.75" customHeight="1" x14ac:dyDescent="0.2">
      <c r="A475" s="5"/>
      <c r="B475" s="5"/>
      <c r="C475" s="5"/>
      <c r="D475" s="5"/>
      <c r="E475" s="5"/>
      <c r="F475" s="5"/>
      <c r="G475" s="4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5.75" customHeight="1" x14ac:dyDescent="0.2">
      <c r="A476" s="5"/>
      <c r="B476" s="5"/>
      <c r="C476" s="5"/>
      <c r="D476" s="5"/>
      <c r="E476" s="5"/>
      <c r="F476" s="5"/>
      <c r="G476" s="4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5.75" customHeight="1" x14ac:dyDescent="0.2">
      <c r="A477" s="5"/>
      <c r="B477" s="5"/>
      <c r="C477" s="5"/>
      <c r="D477" s="5"/>
      <c r="E477" s="5"/>
      <c r="F477" s="5"/>
      <c r="G477" s="4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5.75" customHeight="1" x14ac:dyDescent="0.2">
      <c r="A478" s="5"/>
      <c r="B478" s="5"/>
      <c r="C478" s="5"/>
      <c r="D478" s="5"/>
      <c r="E478" s="5"/>
      <c r="F478" s="5"/>
      <c r="G478" s="4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5.75" customHeight="1" x14ac:dyDescent="0.2">
      <c r="A479" s="5"/>
      <c r="B479" s="5"/>
      <c r="C479" s="5"/>
      <c r="D479" s="5"/>
      <c r="E479" s="5"/>
      <c r="F479" s="5"/>
      <c r="G479" s="4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5.75" customHeight="1" x14ac:dyDescent="0.2">
      <c r="A480" s="5"/>
      <c r="B480" s="5"/>
      <c r="C480" s="5"/>
      <c r="D480" s="5"/>
      <c r="E480" s="5"/>
      <c r="F480" s="5"/>
      <c r="G480" s="4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5.75" customHeight="1" x14ac:dyDescent="0.2">
      <c r="A481" s="5"/>
      <c r="B481" s="5"/>
      <c r="C481" s="5"/>
      <c r="D481" s="5"/>
      <c r="E481" s="5"/>
      <c r="F481" s="5"/>
      <c r="G481" s="4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5.75" customHeight="1" x14ac:dyDescent="0.2">
      <c r="A482" s="5"/>
      <c r="B482" s="5"/>
      <c r="C482" s="5"/>
      <c r="D482" s="5"/>
      <c r="E482" s="5"/>
      <c r="F482" s="5"/>
      <c r="G482" s="4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5.75" customHeight="1" x14ac:dyDescent="0.2">
      <c r="A483" s="5"/>
      <c r="B483" s="5"/>
      <c r="C483" s="5"/>
      <c r="D483" s="5"/>
      <c r="E483" s="5"/>
      <c r="F483" s="5"/>
      <c r="G483" s="4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5.75" customHeight="1" x14ac:dyDescent="0.2">
      <c r="A484" s="5"/>
      <c r="B484" s="5"/>
      <c r="C484" s="5"/>
      <c r="D484" s="5"/>
      <c r="E484" s="5"/>
      <c r="F484" s="5"/>
      <c r="G484" s="4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5.75" customHeight="1" x14ac:dyDescent="0.2">
      <c r="A485" s="5"/>
      <c r="B485" s="5"/>
      <c r="C485" s="5"/>
      <c r="D485" s="5"/>
      <c r="E485" s="5"/>
      <c r="F485" s="5"/>
      <c r="G485" s="4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5.75" customHeight="1" x14ac:dyDescent="0.2">
      <c r="A486" s="5"/>
      <c r="B486" s="5"/>
      <c r="C486" s="5"/>
      <c r="D486" s="5"/>
      <c r="E486" s="5"/>
      <c r="F486" s="5"/>
      <c r="G486" s="4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5.75" customHeight="1" x14ac:dyDescent="0.2">
      <c r="A487" s="5"/>
      <c r="B487" s="5"/>
      <c r="C487" s="5"/>
      <c r="D487" s="5"/>
      <c r="E487" s="5"/>
      <c r="F487" s="5"/>
      <c r="G487" s="4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5.75" customHeight="1" x14ac:dyDescent="0.2">
      <c r="A488" s="5"/>
      <c r="B488" s="5"/>
      <c r="C488" s="5"/>
      <c r="D488" s="5"/>
      <c r="E488" s="5"/>
      <c r="F488" s="5"/>
      <c r="G488" s="4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5.75" customHeight="1" x14ac:dyDescent="0.2">
      <c r="A489" s="5"/>
      <c r="B489" s="5"/>
      <c r="C489" s="5"/>
      <c r="D489" s="5"/>
      <c r="E489" s="5"/>
      <c r="F489" s="5"/>
      <c r="G489" s="4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5.75" customHeight="1" x14ac:dyDescent="0.2">
      <c r="A490" s="5"/>
      <c r="B490" s="5"/>
      <c r="C490" s="5"/>
      <c r="D490" s="5"/>
      <c r="E490" s="5"/>
      <c r="F490" s="5"/>
      <c r="G490" s="4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5.75" customHeight="1" x14ac:dyDescent="0.2">
      <c r="A491" s="5"/>
      <c r="B491" s="5"/>
      <c r="C491" s="5"/>
      <c r="D491" s="5"/>
      <c r="E491" s="5"/>
      <c r="F491" s="5"/>
      <c r="G491" s="4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5.75" customHeight="1" x14ac:dyDescent="0.2">
      <c r="A492" s="5"/>
      <c r="B492" s="5"/>
      <c r="C492" s="5"/>
      <c r="D492" s="5"/>
      <c r="E492" s="5"/>
      <c r="F492" s="5"/>
      <c r="G492" s="4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5.75" customHeight="1" x14ac:dyDescent="0.2">
      <c r="A493" s="5"/>
      <c r="B493" s="5"/>
      <c r="C493" s="5"/>
      <c r="D493" s="5"/>
      <c r="E493" s="5"/>
      <c r="F493" s="5"/>
      <c r="G493" s="4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5.75" customHeight="1" x14ac:dyDescent="0.2">
      <c r="A494" s="5"/>
      <c r="B494" s="5"/>
      <c r="C494" s="5"/>
      <c r="D494" s="5"/>
      <c r="E494" s="5"/>
      <c r="F494" s="5"/>
      <c r="G494" s="4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5.75" customHeight="1" x14ac:dyDescent="0.2">
      <c r="A495" s="5"/>
      <c r="B495" s="5"/>
      <c r="C495" s="5"/>
      <c r="D495" s="5"/>
      <c r="E495" s="5"/>
      <c r="F495" s="5"/>
      <c r="G495" s="4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5.75" customHeight="1" x14ac:dyDescent="0.2">
      <c r="A496" s="5"/>
      <c r="B496" s="5"/>
      <c r="C496" s="5"/>
      <c r="D496" s="5"/>
      <c r="E496" s="5"/>
      <c r="F496" s="5"/>
      <c r="G496" s="4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5.75" customHeight="1" x14ac:dyDescent="0.2">
      <c r="A497" s="5"/>
      <c r="B497" s="5"/>
      <c r="C497" s="5"/>
      <c r="D497" s="5"/>
      <c r="E497" s="5"/>
      <c r="F497" s="5"/>
      <c r="G497" s="4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5.75" customHeight="1" x14ac:dyDescent="0.2">
      <c r="A498" s="5"/>
      <c r="B498" s="5"/>
      <c r="C498" s="5"/>
      <c r="D498" s="5"/>
      <c r="E498" s="5"/>
      <c r="F498" s="5"/>
      <c r="G498" s="4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5.75" customHeight="1" x14ac:dyDescent="0.2">
      <c r="A499" s="5"/>
      <c r="B499" s="5"/>
      <c r="C499" s="5"/>
      <c r="D499" s="5"/>
      <c r="E499" s="5"/>
      <c r="F499" s="5"/>
      <c r="G499" s="4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5.75" customHeight="1" x14ac:dyDescent="0.2">
      <c r="A500" s="5"/>
      <c r="B500" s="5"/>
      <c r="C500" s="5"/>
      <c r="D500" s="5"/>
      <c r="E500" s="5"/>
      <c r="F500" s="5"/>
      <c r="G500" s="4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5.75" customHeight="1" x14ac:dyDescent="0.2">
      <c r="A501" s="5"/>
      <c r="B501" s="5"/>
      <c r="C501" s="5"/>
      <c r="D501" s="5"/>
      <c r="E501" s="5"/>
      <c r="F501" s="5"/>
      <c r="G501" s="4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5.75" customHeight="1" x14ac:dyDescent="0.2">
      <c r="A502" s="5"/>
      <c r="B502" s="5"/>
      <c r="C502" s="5"/>
      <c r="D502" s="5"/>
      <c r="E502" s="5"/>
      <c r="F502" s="5"/>
      <c r="G502" s="4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5.75" customHeight="1" x14ac:dyDescent="0.2">
      <c r="A503" s="5"/>
      <c r="B503" s="5"/>
      <c r="C503" s="5"/>
      <c r="D503" s="5"/>
      <c r="E503" s="5"/>
      <c r="F503" s="5"/>
      <c r="G503" s="4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5.75" customHeight="1" x14ac:dyDescent="0.2">
      <c r="A504" s="5"/>
      <c r="B504" s="5"/>
      <c r="C504" s="5"/>
      <c r="D504" s="5"/>
      <c r="E504" s="5"/>
      <c r="F504" s="5"/>
      <c r="G504" s="4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5.75" customHeight="1" x14ac:dyDescent="0.2">
      <c r="A505" s="5"/>
      <c r="B505" s="5"/>
      <c r="C505" s="5"/>
      <c r="D505" s="5"/>
      <c r="E505" s="5"/>
      <c r="F505" s="5"/>
      <c r="G505" s="4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5.75" customHeight="1" x14ac:dyDescent="0.2">
      <c r="A506" s="5"/>
      <c r="B506" s="5"/>
      <c r="C506" s="5"/>
      <c r="D506" s="5"/>
      <c r="E506" s="5"/>
      <c r="F506" s="5"/>
      <c r="G506" s="4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5.75" customHeight="1" x14ac:dyDescent="0.2">
      <c r="A507" s="5"/>
      <c r="B507" s="5"/>
      <c r="C507" s="5"/>
      <c r="D507" s="5"/>
      <c r="E507" s="5"/>
      <c r="F507" s="5"/>
      <c r="G507" s="4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5.75" customHeight="1" x14ac:dyDescent="0.2">
      <c r="A508" s="5"/>
      <c r="B508" s="5"/>
      <c r="C508" s="5"/>
      <c r="D508" s="5"/>
      <c r="E508" s="5"/>
      <c r="F508" s="5"/>
      <c r="G508" s="4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5.75" customHeight="1" x14ac:dyDescent="0.2">
      <c r="A509" s="5"/>
      <c r="B509" s="5"/>
      <c r="C509" s="5"/>
      <c r="D509" s="5"/>
      <c r="E509" s="5"/>
      <c r="F509" s="5"/>
      <c r="G509" s="4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5.75" customHeight="1" x14ac:dyDescent="0.2">
      <c r="A510" s="5"/>
      <c r="B510" s="5"/>
      <c r="C510" s="5"/>
      <c r="D510" s="5"/>
      <c r="E510" s="5"/>
      <c r="F510" s="5"/>
      <c r="G510" s="4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5.75" customHeight="1" x14ac:dyDescent="0.2">
      <c r="A511" s="5"/>
      <c r="B511" s="5"/>
      <c r="C511" s="5"/>
      <c r="D511" s="5"/>
      <c r="E511" s="5"/>
      <c r="F511" s="5"/>
      <c r="G511" s="4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5.75" customHeight="1" x14ac:dyDescent="0.2">
      <c r="A512" s="5"/>
      <c r="B512" s="5"/>
      <c r="C512" s="5"/>
      <c r="D512" s="5"/>
      <c r="E512" s="5"/>
      <c r="F512" s="5"/>
      <c r="G512" s="4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5.75" customHeight="1" x14ac:dyDescent="0.2">
      <c r="A513" s="5"/>
      <c r="B513" s="5"/>
      <c r="C513" s="5"/>
      <c r="D513" s="5"/>
      <c r="E513" s="5"/>
      <c r="F513" s="5"/>
      <c r="G513" s="4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5.75" customHeight="1" x14ac:dyDescent="0.2">
      <c r="A514" s="5"/>
      <c r="B514" s="5"/>
      <c r="C514" s="5"/>
      <c r="D514" s="5"/>
      <c r="E514" s="5"/>
      <c r="F514" s="5"/>
      <c r="G514" s="4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5.75" customHeight="1" x14ac:dyDescent="0.2">
      <c r="A515" s="5"/>
      <c r="B515" s="5"/>
      <c r="C515" s="5"/>
      <c r="D515" s="5"/>
      <c r="E515" s="5"/>
      <c r="F515" s="5"/>
      <c r="G515" s="4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5.75" customHeight="1" x14ac:dyDescent="0.2">
      <c r="A516" s="5"/>
      <c r="B516" s="5"/>
      <c r="C516" s="5"/>
      <c r="D516" s="5"/>
      <c r="E516" s="5"/>
      <c r="F516" s="5"/>
      <c r="G516" s="4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5.75" customHeight="1" x14ac:dyDescent="0.2">
      <c r="A517" s="5"/>
      <c r="B517" s="5"/>
      <c r="C517" s="5"/>
      <c r="D517" s="5"/>
      <c r="E517" s="5"/>
      <c r="F517" s="5"/>
      <c r="G517" s="4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5.75" customHeight="1" x14ac:dyDescent="0.2">
      <c r="A518" s="5"/>
      <c r="B518" s="5"/>
      <c r="C518" s="5"/>
      <c r="D518" s="5"/>
      <c r="E518" s="5"/>
      <c r="F518" s="5"/>
      <c r="G518" s="4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5.75" customHeight="1" x14ac:dyDescent="0.2">
      <c r="A519" s="5"/>
      <c r="B519" s="5"/>
      <c r="C519" s="5"/>
      <c r="D519" s="5"/>
      <c r="E519" s="5"/>
      <c r="F519" s="5"/>
      <c r="G519" s="4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5.75" customHeight="1" x14ac:dyDescent="0.2">
      <c r="A520" s="5"/>
      <c r="B520" s="5"/>
      <c r="C520" s="5"/>
      <c r="D520" s="5"/>
      <c r="E520" s="5"/>
      <c r="F520" s="5"/>
      <c r="G520" s="4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5.75" customHeight="1" x14ac:dyDescent="0.2">
      <c r="A521" s="5"/>
      <c r="B521" s="5"/>
      <c r="C521" s="5"/>
      <c r="D521" s="5"/>
      <c r="E521" s="5"/>
      <c r="F521" s="5"/>
      <c r="G521" s="4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5.75" customHeight="1" x14ac:dyDescent="0.2">
      <c r="A522" s="5"/>
      <c r="B522" s="5"/>
      <c r="C522" s="5"/>
      <c r="D522" s="5"/>
      <c r="E522" s="5"/>
      <c r="F522" s="5"/>
      <c r="G522" s="4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5.75" customHeight="1" x14ac:dyDescent="0.2">
      <c r="A523" s="5"/>
      <c r="B523" s="5"/>
      <c r="C523" s="5"/>
      <c r="D523" s="5"/>
      <c r="E523" s="5"/>
      <c r="F523" s="5"/>
      <c r="G523" s="4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5.75" customHeight="1" x14ac:dyDescent="0.2">
      <c r="A524" s="5"/>
      <c r="B524" s="5"/>
      <c r="C524" s="5"/>
      <c r="D524" s="5"/>
      <c r="E524" s="5"/>
      <c r="F524" s="5"/>
      <c r="G524" s="4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5.75" customHeight="1" x14ac:dyDescent="0.2">
      <c r="A525" s="5"/>
      <c r="B525" s="5"/>
      <c r="C525" s="5"/>
      <c r="D525" s="5"/>
      <c r="E525" s="5"/>
      <c r="F525" s="5"/>
      <c r="G525" s="4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5.75" customHeight="1" x14ac:dyDescent="0.2">
      <c r="A526" s="5"/>
      <c r="B526" s="5"/>
      <c r="C526" s="5"/>
      <c r="D526" s="5"/>
      <c r="E526" s="5"/>
      <c r="F526" s="5"/>
      <c r="G526" s="4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5.75" customHeight="1" x14ac:dyDescent="0.2">
      <c r="A527" s="5"/>
      <c r="B527" s="5"/>
      <c r="C527" s="5"/>
      <c r="D527" s="5"/>
      <c r="E527" s="5"/>
      <c r="F527" s="5"/>
      <c r="G527" s="4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5.75" customHeight="1" x14ac:dyDescent="0.2">
      <c r="A528" s="5"/>
      <c r="B528" s="5"/>
      <c r="C528" s="5"/>
      <c r="D528" s="5"/>
      <c r="E528" s="5"/>
      <c r="F528" s="5"/>
      <c r="G528" s="4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5.75" customHeight="1" x14ac:dyDescent="0.2">
      <c r="A529" s="5"/>
      <c r="B529" s="5"/>
      <c r="C529" s="5"/>
      <c r="D529" s="5"/>
      <c r="E529" s="5"/>
      <c r="F529" s="5"/>
      <c r="G529" s="4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5.75" customHeight="1" x14ac:dyDescent="0.2">
      <c r="A530" s="5"/>
      <c r="B530" s="5"/>
      <c r="C530" s="5"/>
      <c r="D530" s="5"/>
      <c r="E530" s="5"/>
      <c r="F530" s="5"/>
      <c r="G530" s="4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5.75" customHeight="1" x14ac:dyDescent="0.2">
      <c r="A531" s="5"/>
      <c r="B531" s="5"/>
      <c r="C531" s="5"/>
      <c r="D531" s="5"/>
      <c r="E531" s="5"/>
      <c r="F531" s="5"/>
      <c r="G531" s="4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5.75" customHeight="1" x14ac:dyDescent="0.2">
      <c r="A532" s="5"/>
      <c r="B532" s="5"/>
      <c r="C532" s="5"/>
      <c r="D532" s="5"/>
      <c r="E532" s="5"/>
      <c r="F532" s="5"/>
      <c r="G532" s="4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5.75" customHeight="1" x14ac:dyDescent="0.2">
      <c r="A533" s="5"/>
      <c r="B533" s="5"/>
      <c r="C533" s="5"/>
      <c r="D533" s="5"/>
      <c r="E533" s="5"/>
      <c r="F533" s="5"/>
      <c r="G533" s="4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5.75" customHeight="1" x14ac:dyDescent="0.2">
      <c r="A534" s="5"/>
      <c r="B534" s="5"/>
      <c r="C534" s="5"/>
      <c r="D534" s="5"/>
      <c r="E534" s="5"/>
      <c r="F534" s="5"/>
      <c r="G534" s="4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5.75" customHeight="1" x14ac:dyDescent="0.2">
      <c r="A535" s="5"/>
      <c r="B535" s="5"/>
      <c r="C535" s="5"/>
      <c r="D535" s="5"/>
      <c r="E535" s="5"/>
      <c r="F535" s="5"/>
      <c r="G535" s="4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5.75" customHeight="1" x14ac:dyDescent="0.2">
      <c r="A536" s="5"/>
      <c r="B536" s="5"/>
      <c r="C536" s="5"/>
      <c r="D536" s="5"/>
      <c r="E536" s="5"/>
      <c r="F536" s="5"/>
      <c r="G536" s="4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5.75" customHeight="1" x14ac:dyDescent="0.2">
      <c r="A537" s="5"/>
      <c r="B537" s="5"/>
      <c r="C537" s="5"/>
      <c r="D537" s="5"/>
      <c r="E537" s="5"/>
      <c r="F537" s="5"/>
      <c r="G537" s="4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5.75" customHeight="1" x14ac:dyDescent="0.2">
      <c r="A538" s="5"/>
      <c r="B538" s="5"/>
      <c r="C538" s="5"/>
      <c r="D538" s="5"/>
      <c r="E538" s="5"/>
      <c r="F538" s="5"/>
      <c r="G538" s="4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5.75" customHeight="1" x14ac:dyDescent="0.2">
      <c r="A539" s="5"/>
      <c r="B539" s="5"/>
      <c r="C539" s="5"/>
      <c r="D539" s="5"/>
      <c r="E539" s="5"/>
      <c r="F539" s="5"/>
      <c r="G539" s="4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5.75" customHeight="1" x14ac:dyDescent="0.2">
      <c r="A540" s="5"/>
      <c r="B540" s="5"/>
      <c r="C540" s="5"/>
      <c r="D540" s="5"/>
      <c r="E540" s="5"/>
      <c r="F540" s="5"/>
      <c r="G540" s="4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5.75" customHeight="1" x14ac:dyDescent="0.2">
      <c r="A541" s="5"/>
      <c r="B541" s="5"/>
      <c r="C541" s="5"/>
      <c r="D541" s="5"/>
      <c r="E541" s="5"/>
      <c r="F541" s="5"/>
      <c r="G541" s="4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5.75" customHeight="1" x14ac:dyDescent="0.2">
      <c r="A542" s="5"/>
      <c r="B542" s="5"/>
      <c r="C542" s="5"/>
      <c r="D542" s="5"/>
      <c r="E542" s="5"/>
      <c r="F542" s="5"/>
      <c r="G542" s="4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5.75" customHeight="1" x14ac:dyDescent="0.2">
      <c r="A543" s="5"/>
      <c r="B543" s="5"/>
      <c r="C543" s="5"/>
      <c r="D543" s="5"/>
      <c r="E543" s="5"/>
      <c r="F543" s="5"/>
      <c r="G543" s="4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5.75" customHeight="1" x14ac:dyDescent="0.2">
      <c r="A544" s="5"/>
      <c r="B544" s="5"/>
      <c r="C544" s="5"/>
      <c r="D544" s="5"/>
      <c r="E544" s="5"/>
      <c r="F544" s="5"/>
      <c r="G544" s="4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5.75" customHeight="1" x14ac:dyDescent="0.2">
      <c r="A545" s="5"/>
      <c r="B545" s="5"/>
      <c r="C545" s="5"/>
      <c r="D545" s="5"/>
      <c r="E545" s="5"/>
      <c r="F545" s="5"/>
      <c r="G545" s="4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5.75" customHeight="1" x14ac:dyDescent="0.2">
      <c r="A546" s="5"/>
      <c r="B546" s="5"/>
      <c r="C546" s="5"/>
      <c r="D546" s="5"/>
      <c r="E546" s="5"/>
      <c r="F546" s="5"/>
      <c r="G546" s="4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5.75" customHeight="1" x14ac:dyDescent="0.2">
      <c r="A547" s="5"/>
      <c r="B547" s="5"/>
      <c r="C547" s="5"/>
      <c r="D547" s="5"/>
      <c r="E547" s="5"/>
      <c r="F547" s="5"/>
      <c r="G547" s="4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5.75" customHeight="1" x14ac:dyDescent="0.2">
      <c r="A548" s="5"/>
      <c r="B548" s="5"/>
      <c r="C548" s="5"/>
      <c r="D548" s="5"/>
      <c r="E548" s="5"/>
      <c r="F548" s="5"/>
      <c r="G548" s="4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5.75" customHeight="1" x14ac:dyDescent="0.2">
      <c r="A549" s="5"/>
      <c r="B549" s="5"/>
      <c r="C549" s="5"/>
      <c r="D549" s="5"/>
      <c r="E549" s="5"/>
      <c r="F549" s="5"/>
      <c r="G549" s="4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5.75" customHeight="1" x14ac:dyDescent="0.2">
      <c r="A550" s="5"/>
      <c r="B550" s="5"/>
      <c r="C550" s="5"/>
      <c r="D550" s="5"/>
      <c r="E550" s="5"/>
      <c r="F550" s="5"/>
      <c r="G550" s="4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5.75" customHeight="1" x14ac:dyDescent="0.2">
      <c r="A551" s="5"/>
      <c r="B551" s="5"/>
      <c r="C551" s="5"/>
      <c r="D551" s="5"/>
      <c r="E551" s="5"/>
      <c r="F551" s="5"/>
      <c r="G551" s="4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5.75" customHeight="1" x14ac:dyDescent="0.2">
      <c r="A552" s="5"/>
      <c r="B552" s="5"/>
      <c r="C552" s="5"/>
      <c r="D552" s="5"/>
      <c r="E552" s="5"/>
      <c r="F552" s="5"/>
      <c r="G552" s="4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5.75" customHeight="1" x14ac:dyDescent="0.2">
      <c r="A553" s="5"/>
      <c r="B553" s="5"/>
      <c r="C553" s="5"/>
      <c r="D553" s="5"/>
      <c r="E553" s="5"/>
      <c r="F553" s="5"/>
      <c r="G553" s="4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5.75" customHeight="1" x14ac:dyDescent="0.2">
      <c r="A554" s="5"/>
      <c r="B554" s="5"/>
      <c r="C554" s="5"/>
      <c r="D554" s="5"/>
      <c r="E554" s="5"/>
      <c r="F554" s="5"/>
      <c r="G554" s="4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5.75" customHeight="1" x14ac:dyDescent="0.2">
      <c r="A555" s="5"/>
      <c r="B555" s="5"/>
      <c r="C555" s="5"/>
      <c r="D555" s="5"/>
      <c r="E555" s="5"/>
      <c r="F555" s="5"/>
      <c r="G555" s="4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5.75" customHeight="1" x14ac:dyDescent="0.2">
      <c r="A556" s="5"/>
      <c r="B556" s="5"/>
      <c r="C556" s="5"/>
      <c r="D556" s="5"/>
      <c r="E556" s="5"/>
      <c r="F556" s="5"/>
      <c r="G556" s="4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5.75" customHeight="1" x14ac:dyDescent="0.2">
      <c r="A557" s="5"/>
      <c r="B557" s="5"/>
      <c r="C557" s="5"/>
      <c r="D557" s="5"/>
      <c r="E557" s="5"/>
      <c r="F557" s="5"/>
      <c r="G557" s="4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5.75" customHeight="1" x14ac:dyDescent="0.2">
      <c r="A558" s="5"/>
      <c r="B558" s="5"/>
      <c r="C558" s="5"/>
      <c r="D558" s="5"/>
      <c r="E558" s="5"/>
      <c r="F558" s="5"/>
      <c r="G558" s="4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5.75" customHeight="1" x14ac:dyDescent="0.2">
      <c r="A559" s="5"/>
      <c r="B559" s="5"/>
      <c r="C559" s="5"/>
      <c r="D559" s="5"/>
      <c r="E559" s="5"/>
      <c r="F559" s="5"/>
      <c r="G559" s="4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5.75" customHeight="1" x14ac:dyDescent="0.2">
      <c r="A560" s="5"/>
      <c r="B560" s="5"/>
      <c r="C560" s="5"/>
      <c r="D560" s="5"/>
      <c r="E560" s="5"/>
      <c r="F560" s="5"/>
      <c r="G560" s="4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5.75" customHeight="1" x14ac:dyDescent="0.2">
      <c r="A561" s="5"/>
      <c r="B561" s="5"/>
      <c r="C561" s="5"/>
      <c r="D561" s="5"/>
      <c r="E561" s="5"/>
      <c r="F561" s="5"/>
      <c r="G561" s="4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5.75" customHeight="1" x14ac:dyDescent="0.2">
      <c r="A562" s="5"/>
      <c r="B562" s="5"/>
      <c r="C562" s="5"/>
      <c r="D562" s="5"/>
      <c r="E562" s="5"/>
      <c r="F562" s="5"/>
      <c r="G562" s="4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5.75" customHeight="1" x14ac:dyDescent="0.2">
      <c r="A563" s="5"/>
      <c r="B563" s="5"/>
      <c r="C563" s="5"/>
      <c r="D563" s="5"/>
      <c r="E563" s="5"/>
      <c r="F563" s="5"/>
      <c r="G563" s="4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5.75" customHeight="1" x14ac:dyDescent="0.2">
      <c r="A564" s="5"/>
      <c r="B564" s="5"/>
      <c r="C564" s="5"/>
      <c r="D564" s="5"/>
      <c r="E564" s="5"/>
      <c r="F564" s="5"/>
      <c r="G564" s="4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5.75" customHeight="1" x14ac:dyDescent="0.2">
      <c r="A565" s="5"/>
      <c r="B565" s="5"/>
      <c r="C565" s="5"/>
      <c r="D565" s="5"/>
      <c r="E565" s="5"/>
      <c r="F565" s="5"/>
      <c r="G565" s="4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5.75" customHeight="1" x14ac:dyDescent="0.2">
      <c r="A566" s="5"/>
      <c r="B566" s="5"/>
      <c r="C566" s="5"/>
      <c r="D566" s="5"/>
      <c r="E566" s="5"/>
      <c r="F566" s="5"/>
      <c r="G566" s="4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5.75" customHeight="1" x14ac:dyDescent="0.2">
      <c r="A567" s="5"/>
      <c r="B567" s="5"/>
      <c r="C567" s="5"/>
      <c r="D567" s="5"/>
      <c r="E567" s="5"/>
      <c r="F567" s="5"/>
      <c r="G567" s="4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5.75" customHeight="1" x14ac:dyDescent="0.2">
      <c r="A568" s="5"/>
      <c r="B568" s="5"/>
      <c r="C568" s="5"/>
      <c r="D568" s="5"/>
      <c r="E568" s="5"/>
      <c r="F568" s="5"/>
      <c r="G568" s="4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5.75" customHeight="1" x14ac:dyDescent="0.2">
      <c r="A569" s="5"/>
      <c r="B569" s="5"/>
      <c r="C569" s="5"/>
      <c r="D569" s="5"/>
      <c r="E569" s="5"/>
      <c r="F569" s="5"/>
      <c r="G569" s="4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5.75" customHeight="1" x14ac:dyDescent="0.2">
      <c r="A570" s="5"/>
      <c r="B570" s="5"/>
      <c r="C570" s="5"/>
      <c r="D570" s="5"/>
      <c r="E570" s="5"/>
      <c r="F570" s="5"/>
      <c r="G570" s="4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5.75" customHeight="1" x14ac:dyDescent="0.2">
      <c r="A571" s="5"/>
      <c r="B571" s="5"/>
      <c r="C571" s="5"/>
      <c r="D571" s="5"/>
      <c r="E571" s="5"/>
      <c r="F571" s="5"/>
      <c r="G571" s="4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5.75" customHeight="1" x14ac:dyDescent="0.2">
      <c r="A572" s="5"/>
      <c r="B572" s="5"/>
      <c r="C572" s="5"/>
      <c r="D572" s="5"/>
      <c r="E572" s="5"/>
      <c r="F572" s="5"/>
      <c r="G572" s="4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5.75" customHeight="1" x14ac:dyDescent="0.2">
      <c r="A573" s="5"/>
      <c r="B573" s="5"/>
      <c r="C573" s="5"/>
      <c r="D573" s="5"/>
      <c r="E573" s="5"/>
      <c r="F573" s="5"/>
      <c r="G573" s="4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5.75" customHeight="1" x14ac:dyDescent="0.2">
      <c r="A574" s="5"/>
      <c r="B574" s="5"/>
      <c r="C574" s="5"/>
      <c r="D574" s="5"/>
      <c r="E574" s="5"/>
      <c r="F574" s="5"/>
      <c r="G574" s="4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5.75" customHeight="1" x14ac:dyDescent="0.2">
      <c r="A575" s="5"/>
      <c r="B575" s="5"/>
      <c r="C575" s="5"/>
      <c r="D575" s="5"/>
      <c r="E575" s="5"/>
      <c r="F575" s="5"/>
      <c r="G575" s="4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5.75" customHeight="1" x14ac:dyDescent="0.2">
      <c r="A576" s="5"/>
      <c r="B576" s="5"/>
      <c r="C576" s="5"/>
      <c r="D576" s="5"/>
      <c r="E576" s="5"/>
      <c r="F576" s="5"/>
      <c r="G576" s="4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5.75" customHeight="1" x14ac:dyDescent="0.2">
      <c r="A577" s="5"/>
      <c r="B577" s="5"/>
      <c r="C577" s="5"/>
      <c r="D577" s="5"/>
      <c r="E577" s="5"/>
      <c r="F577" s="5"/>
      <c r="G577" s="4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5.75" customHeight="1" x14ac:dyDescent="0.2">
      <c r="A578" s="5"/>
      <c r="B578" s="5"/>
      <c r="C578" s="5"/>
      <c r="D578" s="5"/>
      <c r="E578" s="5"/>
      <c r="F578" s="5"/>
      <c r="G578" s="4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5.75" customHeight="1" x14ac:dyDescent="0.2">
      <c r="A579" s="5"/>
      <c r="B579" s="5"/>
      <c r="C579" s="5"/>
      <c r="D579" s="5"/>
      <c r="E579" s="5"/>
      <c r="F579" s="5"/>
      <c r="G579" s="4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5.75" customHeight="1" x14ac:dyDescent="0.2">
      <c r="A580" s="5"/>
      <c r="B580" s="5"/>
      <c r="C580" s="5"/>
      <c r="D580" s="5"/>
      <c r="E580" s="5"/>
      <c r="F580" s="5"/>
      <c r="G580" s="4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5.75" customHeight="1" x14ac:dyDescent="0.2">
      <c r="A581" s="5"/>
      <c r="B581" s="5"/>
      <c r="C581" s="5"/>
      <c r="D581" s="5"/>
      <c r="E581" s="5"/>
      <c r="F581" s="5"/>
      <c r="G581" s="4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5.75" customHeight="1" x14ac:dyDescent="0.2">
      <c r="A582" s="5"/>
      <c r="B582" s="5"/>
      <c r="C582" s="5"/>
      <c r="D582" s="5"/>
      <c r="E582" s="5"/>
      <c r="F582" s="5"/>
      <c r="G582" s="4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5.75" customHeight="1" x14ac:dyDescent="0.2">
      <c r="A583" s="5"/>
      <c r="B583" s="5"/>
      <c r="C583" s="5"/>
      <c r="D583" s="5"/>
      <c r="E583" s="5"/>
      <c r="F583" s="5"/>
      <c r="G583" s="4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5.75" customHeight="1" x14ac:dyDescent="0.2">
      <c r="A584" s="5"/>
      <c r="B584" s="5"/>
      <c r="C584" s="5"/>
      <c r="D584" s="5"/>
      <c r="E584" s="5"/>
      <c r="F584" s="5"/>
      <c r="G584" s="4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5.75" customHeight="1" x14ac:dyDescent="0.2">
      <c r="A585" s="5"/>
      <c r="B585" s="5"/>
      <c r="C585" s="5"/>
      <c r="D585" s="5"/>
      <c r="E585" s="5"/>
      <c r="F585" s="5"/>
      <c r="G585" s="4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5.75" customHeight="1" x14ac:dyDescent="0.2">
      <c r="A586" s="5"/>
      <c r="B586" s="5"/>
      <c r="C586" s="5"/>
      <c r="D586" s="5"/>
      <c r="E586" s="5"/>
      <c r="F586" s="5"/>
      <c r="G586" s="4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5.75" customHeight="1" x14ac:dyDescent="0.2">
      <c r="A587" s="5"/>
      <c r="B587" s="5"/>
      <c r="C587" s="5"/>
      <c r="D587" s="5"/>
      <c r="E587" s="5"/>
      <c r="F587" s="5"/>
      <c r="G587" s="4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5.75" customHeight="1" x14ac:dyDescent="0.2">
      <c r="A588" s="5"/>
      <c r="B588" s="5"/>
      <c r="C588" s="5"/>
      <c r="D588" s="5"/>
      <c r="E588" s="5"/>
      <c r="F588" s="5"/>
      <c r="G588" s="4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5.75" customHeight="1" x14ac:dyDescent="0.2">
      <c r="A589" s="5"/>
      <c r="B589" s="5"/>
      <c r="C589" s="5"/>
      <c r="D589" s="5"/>
      <c r="E589" s="5"/>
      <c r="F589" s="5"/>
      <c r="G589" s="4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5.75" customHeight="1" x14ac:dyDescent="0.2">
      <c r="A590" s="5"/>
      <c r="B590" s="5"/>
      <c r="C590" s="5"/>
      <c r="D590" s="5"/>
      <c r="E590" s="5"/>
      <c r="F590" s="5"/>
      <c r="G590" s="4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5.75" customHeight="1" x14ac:dyDescent="0.2">
      <c r="A591" s="5"/>
      <c r="B591" s="5"/>
      <c r="C591" s="5"/>
      <c r="D591" s="5"/>
      <c r="E591" s="5"/>
      <c r="F591" s="5"/>
      <c r="G591" s="4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5.75" customHeight="1" x14ac:dyDescent="0.2">
      <c r="A592" s="5"/>
      <c r="B592" s="5"/>
      <c r="C592" s="5"/>
      <c r="D592" s="5"/>
      <c r="E592" s="5"/>
      <c r="F592" s="5"/>
      <c r="G592" s="4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5.75" customHeight="1" x14ac:dyDescent="0.2">
      <c r="A593" s="5"/>
      <c r="B593" s="5"/>
      <c r="C593" s="5"/>
      <c r="D593" s="5"/>
      <c r="E593" s="5"/>
      <c r="F593" s="5"/>
      <c r="G593" s="4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5.75" customHeight="1" x14ac:dyDescent="0.2">
      <c r="A594" s="5"/>
      <c r="B594" s="5"/>
      <c r="C594" s="5"/>
      <c r="D594" s="5"/>
      <c r="E594" s="5"/>
      <c r="F594" s="5"/>
      <c r="G594" s="4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5.75" customHeight="1" x14ac:dyDescent="0.2">
      <c r="A595" s="5"/>
      <c r="B595" s="5"/>
      <c r="C595" s="5"/>
      <c r="D595" s="5"/>
      <c r="E595" s="5"/>
      <c r="F595" s="5"/>
      <c r="G595" s="4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5.75" customHeight="1" x14ac:dyDescent="0.2">
      <c r="A596" s="5"/>
      <c r="B596" s="5"/>
      <c r="C596" s="5"/>
      <c r="D596" s="5"/>
      <c r="E596" s="5"/>
      <c r="F596" s="5"/>
      <c r="G596" s="4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5.75" customHeight="1" x14ac:dyDescent="0.2">
      <c r="A597" s="5"/>
      <c r="B597" s="5"/>
      <c r="C597" s="5"/>
      <c r="D597" s="5"/>
      <c r="E597" s="5"/>
      <c r="F597" s="5"/>
      <c r="G597" s="4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5.75" customHeight="1" x14ac:dyDescent="0.2">
      <c r="A598" s="5"/>
      <c r="B598" s="5"/>
      <c r="C598" s="5"/>
      <c r="D598" s="5"/>
      <c r="E598" s="5"/>
      <c r="F598" s="5"/>
      <c r="G598" s="4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5.75" customHeight="1" x14ac:dyDescent="0.2">
      <c r="A599" s="5"/>
      <c r="B599" s="5"/>
      <c r="C599" s="5"/>
      <c r="D599" s="5"/>
      <c r="E599" s="5"/>
      <c r="F599" s="5"/>
      <c r="G599" s="4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5.75" customHeight="1" x14ac:dyDescent="0.2">
      <c r="A600" s="5"/>
      <c r="B600" s="5"/>
      <c r="C600" s="5"/>
      <c r="D600" s="5"/>
      <c r="E600" s="5"/>
      <c r="F600" s="5"/>
      <c r="G600" s="4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5.75" customHeight="1" x14ac:dyDescent="0.2">
      <c r="A601" s="5"/>
      <c r="B601" s="5"/>
      <c r="C601" s="5"/>
      <c r="D601" s="5"/>
      <c r="E601" s="5"/>
      <c r="F601" s="5"/>
      <c r="G601" s="4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5.75" customHeight="1" x14ac:dyDescent="0.2">
      <c r="A602" s="5"/>
      <c r="B602" s="5"/>
      <c r="C602" s="5"/>
      <c r="D602" s="5"/>
      <c r="E602" s="5"/>
      <c r="F602" s="5"/>
      <c r="G602" s="4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5.75" customHeight="1" x14ac:dyDescent="0.2">
      <c r="A603" s="5"/>
      <c r="B603" s="5"/>
      <c r="C603" s="5"/>
      <c r="D603" s="5"/>
      <c r="E603" s="5"/>
      <c r="F603" s="5"/>
      <c r="G603" s="4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5.75" customHeight="1" x14ac:dyDescent="0.2">
      <c r="A604" s="5"/>
      <c r="B604" s="5"/>
      <c r="C604" s="5"/>
      <c r="D604" s="5"/>
      <c r="E604" s="5"/>
      <c r="F604" s="5"/>
      <c r="G604" s="4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5.75" customHeight="1" x14ac:dyDescent="0.2">
      <c r="A605" s="5"/>
      <c r="B605" s="5"/>
      <c r="C605" s="5"/>
      <c r="D605" s="5"/>
      <c r="E605" s="5"/>
      <c r="F605" s="5"/>
      <c r="G605" s="4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5.75" customHeight="1" x14ac:dyDescent="0.2">
      <c r="A606" s="5"/>
      <c r="B606" s="5"/>
      <c r="C606" s="5"/>
      <c r="D606" s="5"/>
      <c r="E606" s="5"/>
      <c r="F606" s="5"/>
      <c r="G606" s="4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5.75" customHeight="1" x14ac:dyDescent="0.2">
      <c r="A607" s="5"/>
      <c r="B607" s="5"/>
      <c r="C607" s="5"/>
      <c r="D607" s="5"/>
      <c r="E607" s="5"/>
      <c r="F607" s="5"/>
      <c r="G607" s="4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5.75" customHeight="1" x14ac:dyDescent="0.2">
      <c r="A608" s="5"/>
      <c r="B608" s="5"/>
      <c r="C608" s="5"/>
      <c r="D608" s="5"/>
      <c r="E608" s="5"/>
      <c r="F608" s="5"/>
      <c r="G608" s="4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5.75" customHeight="1" x14ac:dyDescent="0.2">
      <c r="A609" s="5"/>
      <c r="B609" s="5"/>
      <c r="C609" s="5"/>
      <c r="D609" s="5"/>
      <c r="E609" s="5"/>
      <c r="F609" s="5"/>
      <c r="G609" s="4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5.75" customHeight="1" x14ac:dyDescent="0.2">
      <c r="A610" s="5"/>
      <c r="B610" s="5"/>
      <c r="C610" s="5"/>
      <c r="D610" s="5"/>
      <c r="E610" s="5"/>
      <c r="F610" s="5"/>
      <c r="G610" s="4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5.75" customHeight="1" x14ac:dyDescent="0.2">
      <c r="A611" s="5"/>
      <c r="B611" s="5"/>
      <c r="C611" s="5"/>
      <c r="D611" s="5"/>
      <c r="E611" s="5"/>
      <c r="F611" s="5"/>
      <c r="G611" s="4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5.75" customHeight="1" x14ac:dyDescent="0.2">
      <c r="A612" s="5"/>
      <c r="B612" s="5"/>
      <c r="C612" s="5"/>
      <c r="D612" s="5"/>
      <c r="E612" s="5"/>
      <c r="F612" s="5"/>
      <c r="G612" s="4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5.75" customHeight="1" x14ac:dyDescent="0.2">
      <c r="A613" s="5"/>
      <c r="B613" s="5"/>
      <c r="C613" s="5"/>
      <c r="D613" s="5"/>
      <c r="E613" s="5"/>
      <c r="F613" s="5"/>
      <c r="G613" s="4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5.75" customHeight="1" x14ac:dyDescent="0.2">
      <c r="A614" s="5"/>
      <c r="B614" s="5"/>
      <c r="C614" s="5"/>
      <c r="D614" s="5"/>
      <c r="E614" s="5"/>
      <c r="F614" s="5"/>
      <c r="G614" s="4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5.75" customHeight="1" x14ac:dyDescent="0.2">
      <c r="A615" s="5"/>
      <c r="B615" s="5"/>
      <c r="C615" s="5"/>
      <c r="D615" s="5"/>
      <c r="E615" s="5"/>
      <c r="F615" s="5"/>
      <c r="G615" s="4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5.75" customHeight="1" x14ac:dyDescent="0.2">
      <c r="A616" s="5"/>
      <c r="B616" s="5"/>
      <c r="C616" s="5"/>
      <c r="D616" s="5"/>
      <c r="E616" s="5"/>
      <c r="F616" s="5"/>
      <c r="G616" s="4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5.75" customHeight="1" x14ac:dyDescent="0.2">
      <c r="A617" s="5"/>
      <c r="B617" s="5"/>
      <c r="C617" s="5"/>
      <c r="D617" s="5"/>
      <c r="E617" s="5"/>
      <c r="F617" s="5"/>
      <c r="G617" s="4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5.75" customHeight="1" x14ac:dyDescent="0.2">
      <c r="A618" s="5"/>
      <c r="B618" s="5"/>
      <c r="C618" s="5"/>
      <c r="D618" s="5"/>
      <c r="E618" s="5"/>
      <c r="F618" s="5"/>
      <c r="G618" s="4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5.75" customHeight="1" x14ac:dyDescent="0.2">
      <c r="A619" s="5"/>
      <c r="B619" s="5"/>
      <c r="C619" s="5"/>
      <c r="D619" s="5"/>
      <c r="E619" s="5"/>
      <c r="F619" s="5"/>
      <c r="G619" s="4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5.75" customHeight="1" x14ac:dyDescent="0.2">
      <c r="A620" s="5"/>
      <c r="B620" s="5"/>
      <c r="C620" s="5"/>
      <c r="D620" s="5"/>
      <c r="E620" s="5"/>
      <c r="F620" s="5"/>
      <c r="G620" s="4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5.75" customHeight="1" x14ac:dyDescent="0.2">
      <c r="A621" s="5"/>
      <c r="B621" s="5"/>
      <c r="C621" s="5"/>
      <c r="D621" s="5"/>
      <c r="E621" s="5"/>
      <c r="F621" s="5"/>
      <c r="G621" s="4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5.75" customHeight="1" x14ac:dyDescent="0.2">
      <c r="A622" s="5"/>
      <c r="B622" s="5"/>
      <c r="C622" s="5"/>
      <c r="D622" s="5"/>
      <c r="E622" s="5"/>
      <c r="F622" s="5"/>
      <c r="G622" s="4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5.75" customHeight="1" x14ac:dyDescent="0.2">
      <c r="A623" s="5"/>
      <c r="B623" s="5"/>
      <c r="C623" s="5"/>
      <c r="D623" s="5"/>
      <c r="E623" s="5"/>
      <c r="F623" s="5"/>
      <c r="G623" s="4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5.75" customHeight="1" x14ac:dyDescent="0.2">
      <c r="A624" s="5"/>
      <c r="B624" s="5"/>
      <c r="C624" s="5"/>
      <c r="D624" s="5"/>
      <c r="E624" s="5"/>
      <c r="F624" s="5"/>
      <c r="G624" s="4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5.75" customHeight="1" x14ac:dyDescent="0.2">
      <c r="A625" s="5"/>
      <c r="B625" s="5"/>
      <c r="C625" s="5"/>
      <c r="D625" s="5"/>
      <c r="E625" s="5"/>
      <c r="F625" s="5"/>
      <c r="G625" s="4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5.75" customHeight="1" x14ac:dyDescent="0.2">
      <c r="A626" s="5"/>
      <c r="B626" s="5"/>
      <c r="C626" s="5"/>
      <c r="D626" s="5"/>
      <c r="E626" s="5"/>
      <c r="F626" s="5"/>
      <c r="G626" s="4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5.75" customHeight="1" x14ac:dyDescent="0.2">
      <c r="A627" s="5"/>
      <c r="B627" s="5"/>
      <c r="C627" s="5"/>
      <c r="D627" s="5"/>
      <c r="E627" s="5"/>
      <c r="F627" s="5"/>
      <c r="G627" s="4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5.75" customHeight="1" x14ac:dyDescent="0.2">
      <c r="A628" s="5"/>
      <c r="B628" s="5"/>
      <c r="C628" s="5"/>
      <c r="D628" s="5"/>
      <c r="E628" s="5"/>
      <c r="F628" s="5"/>
      <c r="G628" s="4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5.75" customHeight="1" x14ac:dyDescent="0.2">
      <c r="A629" s="5"/>
      <c r="B629" s="5"/>
      <c r="C629" s="5"/>
      <c r="D629" s="5"/>
      <c r="E629" s="5"/>
      <c r="F629" s="5"/>
      <c r="G629" s="4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5.75" customHeight="1" x14ac:dyDescent="0.2">
      <c r="A630" s="5"/>
      <c r="B630" s="5"/>
      <c r="C630" s="5"/>
      <c r="D630" s="5"/>
      <c r="E630" s="5"/>
      <c r="F630" s="5"/>
      <c r="G630" s="4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5.75" customHeight="1" x14ac:dyDescent="0.2">
      <c r="A631" s="5"/>
      <c r="B631" s="5"/>
      <c r="C631" s="5"/>
      <c r="D631" s="5"/>
      <c r="E631" s="5"/>
      <c r="F631" s="5"/>
      <c r="G631" s="4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5.75" customHeight="1" x14ac:dyDescent="0.2">
      <c r="A632" s="5"/>
      <c r="B632" s="5"/>
      <c r="C632" s="5"/>
      <c r="D632" s="5"/>
      <c r="E632" s="5"/>
      <c r="F632" s="5"/>
      <c r="G632" s="4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5.75" customHeight="1" x14ac:dyDescent="0.2">
      <c r="A633" s="5"/>
      <c r="B633" s="5"/>
      <c r="C633" s="5"/>
      <c r="D633" s="5"/>
      <c r="E633" s="5"/>
      <c r="F633" s="5"/>
      <c r="G633" s="4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5.75" customHeight="1" x14ac:dyDescent="0.2">
      <c r="A634" s="5"/>
      <c r="B634" s="5"/>
      <c r="C634" s="5"/>
      <c r="D634" s="5"/>
      <c r="E634" s="5"/>
      <c r="F634" s="5"/>
      <c r="G634" s="4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5.75" customHeight="1" x14ac:dyDescent="0.2">
      <c r="A635" s="5"/>
      <c r="B635" s="5"/>
      <c r="C635" s="5"/>
      <c r="D635" s="5"/>
      <c r="E635" s="5"/>
      <c r="F635" s="5"/>
      <c r="G635" s="4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5.75" customHeight="1" x14ac:dyDescent="0.2">
      <c r="A636" s="5"/>
      <c r="B636" s="5"/>
      <c r="C636" s="5"/>
      <c r="D636" s="5"/>
      <c r="E636" s="5"/>
      <c r="F636" s="5"/>
      <c r="G636" s="4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5.75" customHeight="1" x14ac:dyDescent="0.2">
      <c r="A637" s="5"/>
      <c r="B637" s="5"/>
      <c r="C637" s="5"/>
      <c r="D637" s="5"/>
      <c r="E637" s="5"/>
      <c r="F637" s="5"/>
      <c r="G637" s="4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5.75" customHeight="1" x14ac:dyDescent="0.2">
      <c r="A638" s="5"/>
      <c r="B638" s="5"/>
      <c r="C638" s="5"/>
      <c r="D638" s="5"/>
      <c r="E638" s="5"/>
      <c r="F638" s="5"/>
      <c r="G638" s="4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5.75" customHeight="1" x14ac:dyDescent="0.2">
      <c r="A639" s="5"/>
      <c r="B639" s="5"/>
      <c r="C639" s="5"/>
      <c r="D639" s="5"/>
      <c r="E639" s="5"/>
      <c r="F639" s="5"/>
      <c r="G639" s="4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5.75" customHeight="1" x14ac:dyDescent="0.2">
      <c r="A640" s="5"/>
      <c r="B640" s="5"/>
      <c r="C640" s="5"/>
      <c r="D640" s="5"/>
      <c r="E640" s="5"/>
      <c r="F640" s="5"/>
      <c r="G640" s="4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5.75" customHeight="1" x14ac:dyDescent="0.2">
      <c r="A641" s="5"/>
      <c r="B641" s="5"/>
      <c r="C641" s="5"/>
      <c r="D641" s="5"/>
      <c r="E641" s="5"/>
      <c r="F641" s="5"/>
      <c r="G641" s="4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5.75" customHeight="1" x14ac:dyDescent="0.2">
      <c r="A642" s="5"/>
      <c r="B642" s="5"/>
      <c r="C642" s="5"/>
      <c r="D642" s="5"/>
      <c r="E642" s="5"/>
      <c r="F642" s="5"/>
      <c r="G642" s="4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5.75" customHeight="1" x14ac:dyDescent="0.2">
      <c r="A643" s="5"/>
      <c r="B643" s="5"/>
      <c r="C643" s="5"/>
      <c r="D643" s="5"/>
      <c r="E643" s="5"/>
      <c r="F643" s="5"/>
      <c r="G643" s="4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5.75" customHeight="1" x14ac:dyDescent="0.2">
      <c r="A644" s="5"/>
      <c r="B644" s="5"/>
      <c r="C644" s="5"/>
      <c r="D644" s="5"/>
      <c r="E644" s="5"/>
      <c r="F644" s="5"/>
      <c r="G644" s="4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5.75" customHeight="1" x14ac:dyDescent="0.2">
      <c r="A645" s="5"/>
      <c r="B645" s="5"/>
      <c r="C645" s="5"/>
      <c r="D645" s="5"/>
      <c r="E645" s="5"/>
      <c r="F645" s="5"/>
      <c r="G645" s="4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5.75" customHeight="1" x14ac:dyDescent="0.2">
      <c r="A646" s="5"/>
      <c r="B646" s="5"/>
      <c r="C646" s="5"/>
      <c r="D646" s="5"/>
      <c r="E646" s="5"/>
      <c r="F646" s="5"/>
      <c r="G646" s="4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5.75" customHeight="1" x14ac:dyDescent="0.2">
      <c r="A647" s="5"/>
      <c r="B647" s="5"/>
      <c r="C647" s="5"/>
      <c r="D647" s="5"/>
      <c r="E647" s="5"/>
      <c r="F647" s="5"/>
      <c r="G647" s="4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5.75" customHeight="1" x14ac:dyDescent="0.2">
      <c r="A648" s="5"/>
      <c r="B648" s="5"/>
      <c r="C648" s="5"/>
      <c r="D648" s="5"/>
      <c r="E648" s="5"/>
      <c r="F648" s="5"/>
      <c r="G648" s="4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5.75" customHeight="1" x14ac:dyDescent="0.2">
      <c r="A649" s="5"/>
      <c r="B649" s="5"/>
      <c r="C649" s="5"/>
      <c r="D649" s="5"/>
      <c r="E649" s="5"/>
      <c r="F649" s="5"/>
      <c r="G649" s="4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5.75" customHeight="1" x14ac:dyDescent="0.2">
      <c r="A650" s="5"/>
      <c r="B650" s="5"/>
      <c r="C650" s="5"/>
      <c r="D650" s="5"/>
      <c r="E650" s="5"/>
      <c r="F650" s="5"/>
      <c r="G650" s="4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5.75" customHeight="1" x14ac:dyDescent="0.2">
      <c r="A651" s="5"/>
      <c r="B651" s="5"/>
      <c r="C651" s="5"/>
      <c r="D651" s="5"/>
      <c r="E651" s="5"/>
      <c r="F651" s="5"/>
      <c r="G651" s="4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5.75" customHeight="1" x14ac:dyDescent="0.2">
      <c r="A652" s="5"/>
      <c r="B652" s="5"/>
      <c r="C652" s="5"/>
      <c r="D652" s="5"/>
      <c r="E652" s="5"/>
      <c r="F652" s="5"/>
      <c r="G652" s="4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5.75" customHeight="1" x14ac:dyDescent="0.2">
      <c r="A653" s="5"/>
      <c r="B653" s="5"/>
      <c r="C653" s="5"/>
      <c r="D653" s="5"/>
      <c r="E653" s="5"/>
      <c r="F653" s="5"/>
      <c r="G653" s="4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5.75" customHeight="1" x14ac:dyDescent="0.2">
      <c r="A654" s="5"/>
      <c r="B654" s="5"/>
      <c r="C654" s="5"/>
      <c r="D654" s="5"/>
      <c r="E654" s="5"/>
      <c r="F654" s="5"/>
      <c r="G654" s="4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5.75" customHeight="1" x14ac:dyDescent="0.2">
      <c r="A655" s="5"/>
      <c r="B655" s="5"/>
      <c r="C655" s="5"/>
      <c r="D655" s="5"/>
      <c r="E655" s="5"/>
      <c r="F655" s="5"/>
      <c r="G655" s="4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5.75" customHeight="1" x14ac:dyDescent="0.2">
      <c r="A656" s="5"/>
      <c r="B656" s="5"/>
      <c r="C656" s="5"/>
      <c r="D656" s="5"/>
      <c r="E656" s="5"/>
      <c r="F656" s="5"/>
      <c r="G656" s="4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5.75" customHeight="1" x14ac:dyDescent="0.2">
      <c r="A657" s="5"/>
      <c r="B657" s="5"/>
      <c r="C657" s="5"/>
      <c r="D657" s="5"/>
      <c r="E657" s="5"/>
      <c r="F657" s="5"/>
      <c r="G657" s="4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5.75" customHeight="1" x14ac:dyDescent="0.2">
      <c r="A658" s="5"/>
      <c r="B658" s="5"/>
      <c r="C658" s="5"/>
      <c r="D658" s="5"/>
      <c r="E658" s="5"/>
      <c r="F658" s="5"/>
      <c r="G658" s="4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5.75" customHeight="1" x14ac:dyDescent="0.2">
      <c r="A659" s="5"/>
      <c r="B659" s="5"/>
      <c r="C659" s="5"/>
      <c r="D659" s="5"/>
      <c r="E659" s="5"/>
      <c r="F659" s="5"/>
      <c r="G659" s="4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5.75" customHeight="1" x14ac:dyDescent="0.2">
      <c r="A660" s="5"/>
      <c r="B660" s="5"/>
      <c r="C660" s="5"/>
      <c r="D660" s="5"/>
      <c r="E660" s="5"/>
      <c r="F660" s="5"/>
      <c r="G660" s="4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5.75" customHeight="1" x14ac:dyDescent="0.2">
      <c r="A661" s="5"/>
      <c r="B661" s="5"/>
      <c r="C661" s="5"/>
      <c r="D661" s="5"/>
      <c r="E661" s="5"/>
      <c r="F661" s="5"/>
      <c r="G661" s="4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5.75" customHeight="1" x14ac:dyDescent="0.2">
      <c r="A662" s="5"/>
      <c r="B662" s="5"/>
      <c r="C662" s="5"/>
      <c r="D662" s="5"/>
      <c r="E662" s="5"/>
      <c r="F662" s="5"/>
      <c r="G662" s="4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5.75" customHeight="1" x14ac:dyDescent="0.2">
      <c r="A663" s="5"/>
      <c r="B663" s="5"/>
      <c r="C663" s="5"/>
      <c r="D663" s="5"/>
      <c r="E663" s="5"/>
      <c r="F663" s="5"/>
      <c r="G663" s="4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5.75" customHeight="1" x14ac:dyDescent="0.2">
      <c r="A664" s="5"/>
      <c r="B664" s="5"/>
      <c r="C664" s="5"/>
      <c r="D664" s="5"/>
      <c r="E664" s="5"/>
      <c r="F664" s="5"/>
      <c r="G664" s="4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5.75" customHeight="1" x14ac:dyDescent="0.2">
      <c r="A665" s="5"/>
      <c r="B665" s="5"/>
      <c r="C665" s="5"/>
      <c r="D665" s="5"/>
      <c r="E665" s="5"/>
      <c r="F665" s="5"/>
      <c r="G665" s="4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5.75" customHeight="1" x14ac:dyDescent="0.2">
      <c r="A666" s="5"/>
      <c r="B666" s="5"/>
      <c r="C666" s="5"/>
      <c r="D666" s="5"/>
      <c r="E666" s="5"/>
      <c r="F666" s="5"/>
      <c r="G666" s="4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5.75" customHeight="1" x14ac:dyDescent="0.2">
      <c r="A667" s="5"/>
      <c r="B667" s="5"/>
      <c r="C667" s="5"/>
      <c r="D667" s="5"/>
      <c r="E667" s="5"/>
      <c r="F667" s="5"/>
      <c r="G667" s="4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5.75" customHeight="1" x14ac:dyDescent="0.2">
      <c r="A668" s="5"/>
      <c r="B668" s="5"/>
      <c r="C668" s="5"/>
      <c r="D668" s="5"/>
      <c r="E668" s="5"/>
      <c r="F668" s="5"/>
      <c r="G668" s="4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5.75" customHeight="1" x14ac:dyDescent="0.2">
      <c r="A669" s="5"/>
      <c r="B669" s="5"/>
      <c r="C669" s="5"/>
      <c r="D669" s="5"/>
      <c r="E669" s="5"/>
      <c r="F669" s="5"/>
      <c r="G669" s="4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5.75" customHeight="1" x14ac:dyDescent="0.2">
      <c r="A670" s="5"/>
      <c r="B670" s="5"/>
      <c r="C670" s="5"/>
      <c r="D670" s="5"/>
      <c r="E670" s="5"/>
      <c r="F670" s="5"/>
      <c r="G670" s="4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5.75" customHeight="1" x14ac:dyDescent="0.2">
      <c r="A671" s="5"/>
      <c r="B671" s="5"/>
      <c r="C671" s="5"/>
      <c r="D671" s="5"/>
      <c r="E671" s="5"/>
      <c r="F671" s="5"/>
      <c r="G671" s="4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5.75" customHeight="1" x14ac:dyDescent="0.2">
      <c r="A672" s="5"/>
      <c r="B672" s="5"/>
      <c r="C672" s="5"/>
      <c r="D672" s="5"/>
      <c r="E672" s="5"/>
      <c r="F672" s="5"/>
      <c r="G672" s="4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5.75" customHeight="1" x14ac:dyDescent="0.2">
      <c r="A673" s="5"/>
      <c r="B673" s="5"/>
      <c r="C673" s="5"/>
      <c r="D673" s="5"/>
      <c r="E673" s="5"/>
      <c r="F673" s="5"/>
      <c r="G673" s="4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5.75" customHeight="1" x14ac:dyDescent="0.2">
      <c r="A674" s="5"/>
      <c r="B674" s="5"/>
      <c r="C674" s="5"/>
      <c r="D674" s="5"/>
      <c r="E674" s="5"/>
      <c r="F674" s="5"/>
      <c r="G674" s="4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5.75" customHeight="1" x14ac:dyDescent="0.2">
      <c r="A675" s="5"/>
      <c r="B675" s="5"/>
      <c r="C675" s="5"/>
      <c r="D675" s="5"/>
      <c r="E675" s="5"/>
      <c r="F675" s="5"/>
      <c r="G675" s="4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5.75" customHeight="1" x14ac:dyDescent="0.2">
      <c r="A676" s="5"/>
      <c r="B676" s="5"/>
      <c r="C676" s="5"/>
      <c r="D676" s="5"/>
      <c r="E676" s="5"/>
      <c r="F676" s="5"/>
      <c r="G676" s="4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5.75" customHeight="1" x14ac:dyDescent="0.2">
      <c r="A677" s="5"/>
      <c r="B677" s="5"/>
      <c r="C677" s="5"/>
      <c r="D677" s="5"/>
      <c r="E677" s="5"/>
      <c r="F677" s="5"/>
      <c r="G677" s="4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5.75" customHeight="1" x14ac:dyDescent="0.2">
      <c r="A678" s="5"/>
      <c r="B678" s="5"/>
      <c r="C678" s="5"/>
      <c r="D678" s="5"/>
      <c r="E678" s="5"/>
      <c r="F678" s="5"/>
      <c r="G678" s="4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5.75" customHeight="1" x14ac:dyDescent="0.2">
      <c r="A679" s="5"/>
      <c r="B679" s="5"/>
      <c r="C679" s="5"/>
      <c r="D679" s="5"/>
      <c r="E679" s="5"/>
      <c r="F679" s="5"/>
      <c r="G679" s="4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5.75" customHeight="1" x14ac:dyDescent="0.2">
      <c r="A680" s="5"/>
      <c r="B680" s="5"/>
      <c r="C680" s="5"/>
      <c r="D680" s="5"/>
      <c r="E680" s="5"/>
      <c r="F680" s="5"/>
      <c r="G680" s="4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5.75" customHeight="1" x14ac:dyDescent="0.2">
      <c r="A681" s="5"/>
      <c r="B681" s="5"/>
      <c r="C681" s="5"/>
      <c r="D681" s="5"/>
      <c r="E681" s="5"/>
      <c r="F681" s="5"/>
      <c r="G681" s="4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5.75" customHeight="1" x14ac:dyDescent="0.2">
      <c r="A682" s="5"/>
      <c r="B682" s="5"/>
      <c r="C682" s="5"/>
      <c r="D682" s="5"/>
      <c r="E682" s="5"/>
      <c r="F682" s="5"/>
      <c r="G682" s="4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5.75" customHeight="1" x14ac:dyDescent="0.2">
      <c r="A683" s="5"/>
      <c r="B683" s="5"/>
      <c r="C683" s="5"/>
      <c r="D683" s="5"/>
      <c r="E683" s="5"/>
      <c r="F683" s="5"/>
      <c r="G683" s="4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5.75" customHeight="1" x14ac:dyDescent="0.2">
      <c r="A684" s="5"/>
      <c r="B684" s="5"/>
      <c r="C684" s="5"/>
      <c r="D684" s="5"/>
      <c r="E684" s="5"/>
      <c r="F684" s="5"/>
      <c r="G684" s="4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5.75" customHeight="1" x14ac:dyDescent="0.2">
      <c r="A685" s="5"/>
      <c r="B685" s="5"/>
      <c r="C685" s="5"/>
      <c r="D685" s="5"/>
      <c r="E685" s="5"/>
      <c r="F685" s="5"/>
      <c r="G685" s="4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5.75" customHeight="1" x14ac:dyDescent="0.2">
      <c r="A686" s="5"/>
      <c r="B686" s="5"/>
      <c r="C686" s="5"/>
      <c r="D686" s="5"/>
      <c r="E686" s="5"/>
      <c r="F686" s="5"/>
      <c r="G686" s="4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5.75" customHeight="1" x14ac:dyDescent="0.2">
      <c r="A687" s="5"/>
      <c r="B687" s="5"/>
      <c r="C687" s="5"/>
      <c r="D687" s="5"/>
      <c r="E687" s="5"/>
      <c r="F687" s="5"/>
      <c r="G687" s="4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5.75" customHeight="1" x14ac:dyDescent="0.2">
      <c r="A688" s="5"/>
      <c r="B688" s="5"/>
      <c r="C688" s="5"/>
      <c r="D688" s="5"/>
      <c r="E688" s="5"/>
      <c r="F688" s="5"/>
      <c r="G688" s="4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5.75" customHeight="1" x14ac:dyDescent="0.2">
      <c r="A689" s="5"/>
      <c r="B689" s="5"/>
      <c r="C689" s="5"/>
      <c r="D689" s="5"/>
      <c r="E689" s="5"/>
      <c r="F689" s="5"/>
      <c r="G689" s="4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5.75" customHeight="1" x14ac:dyDescent="0.2">
      <c r="A690" s="5"/>
      <c r="B690" s="5"/>
      <c r="C690" s="5"/>
      <c r="D690" s="5"/>
      <c r="E690" s="5"/>
      <c r="F690" s="5"/>
      <c r="G690" s="4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5.75" customHeight="1" x14ac:dyDescent="0.2">
      <c r="A691" s="5"/>
      <c r="B691" s="5"/>
      <c r="C691" s="5"/>
      <c r="D691" s="5"/>
      <c r="E691" s="5"/>
      <c r="F691" s="5"/>
      <c r="G691" s="4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5.75" customHeight="1" x14ac:dyDescent="0.2">
      <c r="A692" s="5"/>
      <c r="B692" s="5"/>
      <c r="C692" s="5"/>
      <c r="D692" s="5"/>
      <c r="E692" s="5"/>
      <c r="F692" s="5"/>
      <c r="G692" s="4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5.75" customHeight="1" x14ac:dyDescent="0.2">
      <c r="A693" s="5"/>
      <c r="B693" s="5"/>
      <c r="C693" s="5"/>
      <c r="D693" s="5"/>
      <c r="E693" s="5"/>
      <c r="F693" s="5"/>
      <c r="G693" s="4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5.75" customHeight="1" x14ac:dyDescent="0.2">
      <c r="A694" s="5"/>
      <c r="B694" s="5"/>
      <c r="C694" s="5"/>
      <c r="D694" s="5"/>
      <c r="E694" s="5"/>
      <c r="F694" s="5"/>
      <c r="G694" s="4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5.75" customHeight="1" x14ac:dyDescent="0.2">
      <c r="A695" s="5"/>
      <c r="B695" s="5"/>
      <c r="C695" s="5"/>
      <c r="D695" s="5"/>
      <c r="E695" s="5"/>
      <c r="F695" s="5"/>
      <c r="G695" s="4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5.75" customHeight="1" x14ac:dyDescent="0.2">
      <c r="A696" s="5"/>
      <c r="B696" s="5"/>
      <c r="C696" s="5"/>
      <c r="D696" s="5"/>
      <c r="E696" s="5"/>
      <c r="F696" s="5"/>
      <c r="G696" s="4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5.75" customHeight="1" x14ac:dyDescent="0.2">
      <c r="A697" s="5"/>
      <c r="B697" s="5"/>
      <c r="C697" s="5"/>
      <c r="D697" s="5"/>
      <c r="E697" s="5"/>
      <c r="F697" s="5"/>
      <c r="G697" s="4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5.75" customHeight="1" x14ac:dyDescent="0.2">
      <c r="A698" s="5"/>
      <c r="B698" s="5"/>
      <c r="C698" s="5"/>
      <c r="D698" s="5"/>
      <c r="E698" s="5"/>
      <c r="F698" s="5"/>
      <c r="G698" s="4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5.75" customHeight="1" x14ac:dyDescent="0.2">
      <c r="A699" s="5"/>
      <c r="B699" s="5"/>
      <c r="C699" s="5"/>
      <c r="D699" s="5"/>
      <c r="E699" s="5"/>
      <c r="F699" s="5"/>
      <c r="G699" s="4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5.75" customHeight="1" x14ac:dyDescent="0.2">
      <c r="A700" s="5"/>
      <c r="B700" s="5"/>
      <c r="C700" s="5"/>
      <c r="D700" s="5"/>
      <c r="E700" s="5"/>
      <c r="F700" s="5"/>
      <c r="G700" s="4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5.75" customHeight="1" x14ac:dyDescent="0.2">
      <c r="A701" s="5"/>
      <c r="B701" s="5"/>
      <c r="C701" s="5"/>
      <c r="D701" s="5"/>
      <c r="E701" s="5"/>
      <c r="F701" s="5"/>
      <c r="G701" s="4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5.75" customHeight="1" x14ac:dyDescent="0.2">
      <c r="A702" s="5"/>
      <c r="B702" s="5"/>
      <c r="C702" s="5"/>
      <c r="D702" s="5"/>
      <c r="E702" s="5"/>
      <c r="F702" s="5"/>
      <c r="G702" s="4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5.75" customHeight="1" x14ac:dyDescent="0.2">
      <c r="A703" s="5"/>
      <c r="B703" s="5"/>
      <c r="C703" s="5"/>
      <c r="D703" s="5"/>
      <c r="E703" s="5"/>
      <c r="F703" s="5"/>
      <c r="G703" s="4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5.75" customHeight="1" x14ac:dyDescent="0.2">
      <c r="A704" s="5"/>
      <c r="B704" s="5"/>
      <c r="C704" s="5"/>
      <c r="D704" s="5"/>
      <c r="E704" s="5"/>
      <c r="F704" s="5"/>
      <c r="G704" s="4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5.75" customHeight="1" x14ac:dyDescent="0.2">
      <c r="A705" s="5"/>
      <c r="B705" s="5"/>
      <c r="C705" s="5"/>
      <c r="D705" s="5"/>
      <c r="E705" s="5"/>
      <c r="F705" s="5"/>
      <c r="G705" s="4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5.75" customHeight="1" x14ac:dyDescent="0.2">
      <c r="A706" s="5"/>
      <c r="B706" s="5"/>
      <c r="C706" s="5"/>
      <c r="D706" s="5"/>
      <c r="E706" s="5"/>
      <c r="F706" s="5"/>
      <c r="G706" s="4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5.75" customHeight="1" x14ac:dyDescent="0.2">
      <c r="A707" s="5"/>
      <c r="B707" s="5"/>
      <c r="C707" s="5"/>
      <c r="D707" s="5"/>
      <c r="E707" s="5"/>
      <c r="F707" s="5"/>
      <c r="G707" s="4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5.75" customHeight="1" x14ac:dyDescent="0.2">
      <c r="A708" s="5"/>
      <c r="B708" s="5"/>
      <c r="C708" s="5"/>
      <c r="D708" s="5"/>
      <c r="E708" s="5"/>
      <c r="F708" s="5"/>
      <c r="G708" s="4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5.75" customHeight="1" x14ac:dyDescent="0.2">
      <c r="A709" s="5"/>
      <c r="B709" s="5"/>
      <c r="C709" s="5"/>
      <c r="D709" s="5"/>
      <c r="E709" s="5"/>
      <c r="F709" s="5"/>
      <c r="G709" s="4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5.75" customHeight="1" x14ac:dyDescent="0.2">
      <c r="A710" s="5"/>
      <c r="B710" s="5"/>
      <c r="C710" s="5"/>
      <c r="D710" s="5"/>
      <c r="E710" s="5"/>
      <c r="F710" s="5"/>
      <c r="G710" s="4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5.75" customHeight="1" x14ac:dyDescent="0.2">
      <c r="A711" s="5"/>
      <c r="B711" s="5"/>
      <c r="C711" s="5"/>
      <c r="D711" s="5"/>
      <c r="E711" s="5"/>
      <c r="F711" s="5"/>
      <c r="G711" s="4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5.75" customHeight="1" x14ac:dyDescent="0.2">
      <c r="A712" s="5"/>
      <c r="B712" s="5"/>
      <c r="C712" s="5"/>
      <c r="D712" s="5"/>
      <c r="E712" s="5"/>
      <c r="F712" s="5"/>
      <c r="G712" s="4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5.75" customHeight="1" x14ac:dyDescent="0.2">
      <c r="A713" s="5"/>
      <c r="B713" s="5"/>
      <c r="C713" s="5"/>
      <c r="D713" s="5"/>
      <c r="E713" s="5"/>
      <c r="F713" s="5"/>
      <c r="G713" s="4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5.75" customHeight="1" x14ac:dyDescent="0.2">
      <c r="A714" s="5"/>
      <c r="B714" s="5"/>
      <c r="C714" s="5"/>
      <c r="D714" s="5"/>
      <c r="E714" s="5"/>
      <c r="F714" s="5"/>
      <c r="G714" s="4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5.75" customHeight="1" x14ac:dyDescent="0.2">
      <c r="A715" s="5"/>
      <c r="B715" s="5"/>
      <c r="C715" s="5"/>
      <c r="D715" s="5"/>
      <c r="E715" s="5"/>
      <c r="F715" s="5"/>
      <c r="G715" s="4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5.75" customHeight="1" x14ac:dyDescent="0.2">
      <c r="A716" s="5"/>
      <c r="B716" s="5"/>
      <c r="C716" s="5"/>
      <c r="D716" s="5"/>
      <c r="E716" s="5"/>
      <c r="F716" s="5"/>
      <c r="G716" s="4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5.75" customHeight="1" x14ac:dyDescent="0.2">
      <c r="A717" s="5"/>
      <c r="B717" s="5"/>
      <c r="C717" s="5"/>
      <c r="D717" s="5"/>
      <c r="E717" s="5"/>
      <c r="F717" s="5"/>
      <c r="G717" s="4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5.75" customHeight="1" x14ac:dyDescent="0.2">
      <c r="A718" s="5"/>
      <c r="B718" s="5"/>
      <c r="C718" s="5"/>
      <c r="D718" s="5"/>
      <c r="E718" s="5"/>
      <c r="F718" s="5"/>
      <c r="G718" s="4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5.75" customHeight="1" x14ac:dyDescent="0.2">
      <c r="A719" s="5"/>
      <c r="B719" s="5"/>
      <c r="C719" s="5"/>
      <c r="D719" s="5"/>
      <c r="E719" s="5"/>
      <c r="F719" s="5"/>
      <c r="G719" s="4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5.75" customHeight="1" x14ac:dyDescent="0.2">
      <c r="A720" s="5"/>
      <c r="B720" s="5"/>
      <c r="C720" s="5"/>
      <c r="D720" s="5"/>
      <c r="E720" s="5"/>
      <c r="F720" s="5"/>
      <c r="G720" s="4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5.75" customHeight="1" x14ac:dyDescent="0.2">
      <c r="A721" s="5"/>
      <c r="B721" s="5"/>
      <c r="C721" s="5"/>
      <c r="D721" s="5"/>
      <c r="E721" s="5"/>
      <c r="F721" s="5"/>
      <c r="G721" s="4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5.75" customHeight="1" x14ac:dyDescent="0.2">
      <c r="A722" s="5"/>
      <c r="B722" s="5"/>
      <c r="C722" s="5"/>
      <c r="D722" s="5"/>
      <c r="E722" s="5"/>
      <c r="F722" s="5"/>
      <c r="G722" s="4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5.75" customHeight="1" x14ac:dyDescent="0.2">
      <c r="A723" s="5"/>
      <c r="B723" s="5"/>
      <c r="C723" s="5"/>
      <c r="D723" s="5"/>
      <c r="E723" s="5"/>
      <c r="F723" s="5"/>
      <c r="G723" s="4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5.75" customHeight="1" x14ac:dyDescent="0.2">
      <c r="A724" s="5"/>
      <c r="B724" s="5"/>
      <c r="C724" s="5"/>
      <c r="D724" s="5"/>
      <c r="E724" s="5"/>
      <c r="F724" s="5"/>
      <c r="G724" s="4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5.75" customHeight="1" x14ac:dyDescent="0.2">
      <c r="A725" s="5"/>
      <c r="B725" s="5"/>
      <c r="C725" s="5"/>
      <c r="D725" s="5"/>
      <c r="E725" s="5"/>
      <c r="F725" s="5"/>
      <c r="G725" s="4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5.75" customHeight="1" x14ac:dyDescent="0.2">
      <c r="A726" s="5"/>
      <c r="B726" s="5"/>
      <c r="C726" s="5"/>
      <c r="D726" s="5"/>
      <c r="E726" s="5"/>
      <c r="F726" s="5"/>
      <c r="G726" s="4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5.75" customHeight="1" x14ac:dyDescent="0.2">
      <c r="A727" s="5"/>
      <c r="B727" s="5"/>
      <c r="C727" s="5"/>
      <c r="D727" s="5"/>
      <c r="E727" s="5"/>
      <c r="F727" s="5"/>
      <c r="G727" s="4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5.75" customHeight="1" x14ac:dyDescent="0.2">
      <c r="A728" s="5"/>
      <c r="B728" s="5"/>
      <c r="C728" s="5"/>
      <c r="D728" s="5"/>
      <c r="E728" s="5"/>
      <c r="F728" s="5"/>
      <c r="G728" s="4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5.75" customHeight="1" x14ac:dyDescent="0.2">
      <c r="A729" s="5"/>
      <c r="B729" s="5"/>
      <c r="C729" s="5"/>
      <c r="D729" s="5"/>
      <c r="E729" s="5"/>
      <c r="F729" s="5"/>
      <c r="G729" s="4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5.75" customHeight="1" x14ac:dyDescent="0.2">
      <c r="A730" s="5"/>
      <c r="B730" s="5"/>
      <c r="C730" s="5"/>
      <c r="D730" s="5"/>
      <c r="E730" s="5"/>
      <c r="F730" s="5"/>
      <c r="G730" s="4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5.75" customHeight="1" x14ac:dyDescent="0.2">
      <c r="A731" s="5"/>
      <c r="B731" s="5"/>
      <c r="C731" s="5"/>
      <c r="D731" s="5"/>
      <c r="E731" s="5"/>
      <c r="F731" s="5"/>
      <c r="G731" s="4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5.75" customHeight="1" x14ac:dyDescent="0.2">
      <c r="A732" s="5"/>
      <c r="B732" s="5"/>
      <c r="C732" s="5"/>
      <c r="D732" s="5"/>
      <c r="E732" s="5"/>
      <c r="F732" s="5"/>
      <c r="G732" s="4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5.75" customHeight="1" x14ac:dyDescent="0.2">
      <c r="A733" s="5"/>
      <c r="B733" s="5"/>
      <c r="C733" s="5"/>
      <c r="D733" s="5"/>
      <c r="E733" s="5"/>
      <c r="F733" s="5"/>
      <c r="G733" s="4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5.75" customHeight="1" x14ac:dyDescent="0.2">
      <c r="A734" s="5"/>
      <c r="B734" s="5"/>
      <c r="C734" s="5"/>
      <c r="D734" s="5"/>
      <c r="E734" s="5"/>
      <c r="F734" s="5"/>
      <c r="G734" s="4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5.75" customHeight="1" x14ac:dyDescent="0.2">
      <c r="A735" s="5"/>
      <c r="B735" s="5"/>
      <c r="C735" s="5"/>
      <c r="D735" s="5"/>
      <c r="E735" s="5"/>
      <c r="F735" s="5"/>
      <c r="G735" s="4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5.75" customHeight="1" x14ac:dyDescent="0.2">
      <c r="A736" s="5"/>
      <c r="B736" s="5"/>
      <c r="C736" s="5"/>
      <c r="D736" s="5"/>
      <c r="E736" s="5"/>
      <c r="F736" s="5"/>
      <c r="G736" s="4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5.75" customHeight="1" x14ac:dyDescent="0.2">
      <c r="A737" s="5"/>
      <c r="B737" s="5"/>
      <c r="C737" s="5"/>
      <c r="D737" s="5"/>
      <c r="E737" s="5"/>
      <c r="F737" s="5"/>
      <c r="G737" s="4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5.75" customHeight="1" x14ac:dyDescent="0.2">
      <c r="A738" s="5"/>
      <c r="B738" s="5"/>
      <c r="C738" s="5"/>
      <c r="D738" s="5"/>
      <c r="E738" s="5"/>
      <c r="F738" s="5"/>
      <c r="G738" s="4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5.75" customHeight="1" x14ac:dyDescent="0.2">
      <c r="A739" s="5"/>
      <c r="B739" s="5"/>
      <c r="C739" s="5"/>
      <c r="D739" s="5"/>
      <c r="E739" s="5"/>
      <c r="F739" s="5"/>
      <c r="G739" s="4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5.75" customHeight="1" x14ac:dyDescent="0.2">
      <c r="A740" s="5"/>
      <c r="B740" s="5"/>
      <c r="C740" s="5"/>
      <c r="D740" s="5"/>
      <c r="E740" s="5"/>
      <c r="F740" s="5"/>
      <c r="G740" s="4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5.75" customHeight="1" x14ac:dyDescent="0.2">
      <c r="A741" s="5"/>
      <c r="B741" s="5"/>
      <c r="C741" s="5"/>
      <c r="D741" s="5"/>
      <c r="E741" s="5"/>
      <c r="F741" s="5"/>
      <c r="G741" s="4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5.75" customHeight="1" x14ac:dyDescent="0.2">
      <c r="A742" s="5"/>
      <c r="B742" s="5"/>
      <c r="C742" s="5"/>
      <c r="D742" s="5"/>
      <c r="E742" s="5"/>
      <c r="F742" s="5"/>
      <c r="G742" s="4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5.75" customHeight="1" x14ac:dyDescent="0.2">
      <c r="A743" s="5"/>
      <c r="B743" s="5"/>
      <c r="C743" s="5"/>
      <c r="D743" s="5"/>
      <c r="E743" s="5"/>
      <c r="F743" s="5"/>
      <c r="G743" s="4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5.75" customHeight="1" x14ac:dyDescent="0.2">
      <c r="A744" s="5"/>
      <c r="B744" s="5"/>
      <c r="C744" s="5"/>
      <c r="D744" s="5"/>
      <c r="E744" s="5"/>
      <c r="F744" s="5"/>
      <c r="G744" s="4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5.75" customHeight="1" x14ac:dyDescent="0.2">
      <c r="A745" s="5"/>
      <c r="B745" s="5"/>
      <c r="C745" s="5"/>
      <c r="D745" s="5"/>
      <c r="E745" s="5"/>
      <c r="F745" s="5"/>
      <c r="G745" s="4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5.75" customHeight="1" x14ac:dyDescent="0.2">
      <c r="A746" s="5"/>
      <c r="B746" s="5"/>
      <c r="C746" s="5"/>
      <c r="D746" s="5"/>
      <c r="E746" s="5"/>
      <c r="F746" s="5"/>
      <c r="G746" s="4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5.75" customHeight="1" x14ac:dyDescent="0.2">
      <c r="A747" s="5"/>
      <c r="B747" s="5"/>
      <c r="C747" s="5"/>
      <c r="D747" s="5"/>
      <c r="E747" s="5"/>
      <c r="F747" s="5"/>
      <c r="G747" s="4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5.75" customHeight="1" x14ac:dyDescent="0.2">
      <c r="A748" s="5"/>
      <c r="B748" s="5"/>
      <c r="C748" s="5"/>
      <c r="D748" s="5"/>
      <c r="E748" s="5"/>
      <c r="F748" s="5"/>
      <c r="G748" s="4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5.75" customHeight="1" x14ac:dyDescent="0.2">
      <c r="A749" s="5"/>
      <c r="B749" s="5"/>
      <c r="C749" s="5"/>
      <c r="D749" s="5"/>
      <c r="E749" s="5"/>
      <c r="F749" s="5"/>
      <c r="G749" s="4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5.75" customHeight="1" x14ac:dyDescent="0.2">
      <c r="A750" s="5"/>
      <c r="B750" s="5"/>
      <c r="C750" s="5"/>
      <c r="D750" s="5"/>
      <c r="E750" s="5"/>
      <c r="F750" s="5"/>
      <c r="G750" s="4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5.75" customHeight="1" x14ac:dyDescent="0.2">
      <c r="A751" s="5"/>
      <c r="B751" s="5"/>
      <c r="C751" s="5"/>
      <c r="D751" s="5"/>
      <c r="E751" s="5"/>
      <c r="F751" s="5"/>
      <c r="G751" s="4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5.75" customHeight="1" x14ac:dyDescent="0.2">
      <c r="A752" s="5"/>
      <c r="B752" s="5"/>
      <c r="C752" s="5"/>
      <c r="D752" s="5"/>
      <c r="E752" s="5"/>
      <c r="F752" s="5"/>
      <c r="G752" s="4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5.75" customHeight="1" x14ac:dyDescent="0.2">
      <c r="A753" s="5"/>
      <c r="B753" s="5"/>
      <c r="C753" s="5"/>
      <c r="D753" s="5"/>
      <c r="E753" s="5"/>
      <c r="F753" s="5"/>
      <c r="G753" s="4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5.75" customHeight="1" x14ac:dyDescent="0.2">
      <c r="A754" s="5"/>
      <c r="B754" s="5"/>
      <c r="C754" s="5"/>
      <c r="D754" s="5"/>
      <c r="E754" s="5"/>
      <c r="F754" s="5"/>
      <c r="G754" s="4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5.75" customHeight="1" x14ac:dyDescent="0.2">
      <c r="A755" s="5"/>
      <c r="B755" s="5"/>
      <c r="C755" s="5"/>
      <c r="D755" s="5"/>
      <c r="E755" s="5"/>
      <c r="F755" s="5"/>
      <c r="G755" s="4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5.75" customHeight="1" x14ac:dyDescent="0.2">
      <c r="A756" s="5"/>
      <c r="B756" s="5"/>
      <c r="C756" s="5"/>
      <c r="D756" s="5"/>
      <c r="E756" s="5"/>
      <c r="F756" s="5"/>
      <c r="G756" s="4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5.75" customHeight="1" x14ac:dyDescent="0.2">
      <c r="A757" s="5"/>
      <c r="B757" s="5"/>
      <c r="C757" s="5"/>
      <c r="D757" s="5"/>
      <c r="E757" s="5"/>
      <c r="F757" s="5"/>
      <c r="G757" s="4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5.75" customHeight="1" x14ac:dyDescent="0.2">
      <c r="A758" s="5"/>
      <c r="B758" s="5"/>
      <c r="C758" s="5"/>
      <c r="D758" s="5"/>
      <c r="E758" s="5"/>
      <c r="F758" s="5"/>
      <c r="G758" s="4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5.75" customHeight="1" x14ac:dyDescent="0.2">
      <c r="A759" s="5"/>
      <c r="B759" s="5"/>
      <c r="C759" s="5"/>
      <c r="D759" s="5"/>
      <c r="E759" s="5"/>
      <c r="F759" s="5"/>
      <c r="G759" s="4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5.75" customHeight="1" x14ac:dyDescent="0.2">
      <c r="A760" s="5"/>
      <c r="B760" s="5"/>
      <c r="C760" s="5"/>
      <c r="D760" s="5"/>
      <c r="E760" s="5"/>
      <c r="F760" s="5"/>
      <c r="G760" s="4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5.75" customHeight="1" x14ac:dyDescent="0.2">
      <c r="A761" s="5"/>
      <c r="B761" s="5"/>
      <c r="C761" s="5"/>
      <c r="D761" s="5"/>
      <c r="E761" s="5"/>
      <c r="F761" s="5"/>
      <c r="G761" s="4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5.75" customHeight="1" x14ac:dyDescent="0.2">
      <c r="A762" s="5"/>
      <c r="B762" s="5"/>
      <c r="C762" s="5"/>
      <c r="D762" s="5"/>
      <c r="E762" s="5"/>
      <c r="F762" s="5"/>
      <c r="G762" s="4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5.75" customHeight="1" x14ac:dyDescent="0.2">
      <c r="A763" s="5"/>
      <c r="B763" s="5"/>
      <c r="C763" s="5"/>
      <c r="D763" s="5"/>
      <c r="E763" s="5"/>
      <c r="F763" s="5"/>
      <c r="G763" s="4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5.75" customHeight="1" x14ac:dyDescent="0.2">
      <c r="A764" s="5"/>
      <c r="B764" s="5"/>
      <c r="C764" s="5"/>
      <c r="D764" s="5"/>
      <c r="E764" s="5"/>
      <c r="F764" s="5"/>
      <c r="G764" s="4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5.75" customHeight="1" x14ac:dyDescent="0.2">
      <c r="A765" s="5"/>
      <c r="B765" s="5"/>
      <c r="C765" s="5"/>
      <c r="D765" s="5"/>
      <c r="E765" s="5"/>
      <c r="F765" s="5"/>
      <c r="G765" s="4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5.75" customHeight="1" x14ac:dyDescent="0.2">
      <c r="A766" s="5"/>
      <c r="B766" s="5"/>
      <c r="C766" s="5"/>
      <c r="D766" s="5"/>
      <c r="E766" s="5"/>
      <c r="F766" s="5"/>
      <c r="G766" s="4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5.75" customHeight="1" x14ac:dyDescent="0.2">
      <c r="A767" s="5"/>
      <c r="B767" s="5"/>
      <c r="C767" s="5"/>
      <c r="D767" s="5"/>
      <c r="E767" s="5"/>
      <c r="F767" s="5"/>
      <c r="G767" s="4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5.75" customHeight="1" x14ac:dyDescent="0.2">
      <c r="A768" s="5"/>
      <c r="B768" s="5"/>
      <c r="C768" s="5"/>
      <c r="D768" s="5"/>
      <c r="E768" s="5"/>
      <c r="F768" s="5"/>
      <c r="G768" s="4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5.75" customHeight="1" x14ac:dyDescent="0.2">
      <c r="A769" s="5"/>
      <c r="B769" s="5"/>
      <c r="C769" s="5"/>
      <c r="D769" s="5"/>
      <c r="E769" s="5"/>
      <c r="F769" s="5"/>
      <c r="G769" s="4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5.75" customHeight="1" x14ac:dyDescent="0.2">
      <c r="A770" s="5"/>
      <c r="B770" s="5"/>
      <c r="C770" s="5"/>
      <c r="D770" s="5"/>
      <c r="E770" s="5"/>
      <c r="F770" s="5"/>
      <c r="G770" s="4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5.75" customHeight="1" x14ac:dyDescent="0.2">
      <c r="A771" s="5"/>
      <c r="B771" s="5"/>
      <c r="C771" s="5"/>
      <c r="D771" s="5"/>
      <c r="E771" s="5"/>
      <c r="F771" s="5"/>
      <c r="G771" s="4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5.75" customHeight="1" x14ac:dyDescent="0.2">
      <c r="A772" s="5"/>
      <c r="B772" s="5"/>
      <c r="C772" s="5"/>
      <c r="D772" s="5"/>
      <c r="E772" s="5"/>
      <c r="F772" s="5"/>
      <c r="G772" s="4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5.75" customHeight="1" x14ac:dyDescent="0.2">
      <c r="A773" s="5"/>
      <c r="B773" s="5"/>
      <c r="C773" s="5"/>
      <c r="D773" s="5"/>
      <c r="E773" s="5"/>
      <c r="F773" s="5"/>
      <c r="G773" s="4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5.75" customHeight="1" x14ac:dyDescent="0.2">
      <c r="A774" s="5"/>
      <c r="B774" s="5"/>
      <c r="C774" s="5"/>
      <c r="D774" s="5"/>
      <c r="E774" s="5"/>
      <c r="F774" s="5"/>
      <c r="G774" s="4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5.75" customHeight="1" x14ac:dyDescent="0.2">
      <c r="A775" s="5"/>
      <c r="B775" s="5"/>
      <c r="C775" s="5"/>
      <c r="D775" s="5"/>
      <c r="E775" s="5"/>
      <c r="F775" s="5"/>
      <c r="G775" s="4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5.75" customHeight="1" x14ac:dyDescent="0.2">
      <c r="A776" s="5"/>
      <c r="B776" s="5"/>
      <c r="C776" s="5"/>
      <c r="D776" s="5"/>
      <c r="E776" s="5"/>
      <c r="F776" s="5"/>
      <c r="G776" s="4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5.75" customHeight="1" x14ac:dyDescent="0.2">
      <c r="A777" s="5"/>
      <c r="B777" s="5"/>
      <c r="C777" s="5"/>
      <c r="D777" s="5"/>
      <c r="E777" s="5"/>
      <c r="F777" s="5"/>
      <c r="G777" s="4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5.75" customHeight="1" x14ac:dyDescent="0.2">
      <c r="A778" s="5"/>
      <c r="B778" s="5"/>
      <c r="C778" s="5"/>
      <c r="D778" s="5"/>
      <c r="E778" s="5"/>
      <c r="F778" s="5"/>
      <c r="G778" s="4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5.75" customHeight="1" x14ac:dyDescent="0.2">
      <c r="A779" s="5"/>
      <c r="B779" s="5"/>
      <c r="C779" s="5"/>
      <c r="D779" s="5"/>
      <c r="E779" s="5"/>
      <c r="F779" s="5"/>
      <c r="G779" s="4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5.75" customHeight="1" x14ac:dyDescent="0.2">
      <c r="A780" s="5"/>
      <c r="B780" s="5"/>
      <c r="C780" s="5"/>
      <c r="D780" s="5"/>
      <c r="E780" s="5"/>
      <c r="F780" s="5"/>
      <c r="G780" s="4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5.75" customHeight="1" x14ac:dyDescent="0.2">
      <c r="A781" s="5"/>
      <c r="B781" s="5"/>
      <c r="C781" s="5"/>
      <c r="D781" s="5"/>
      <c r="E781" s="5"/>
      <c r="F781" s="5"/>
      <c r="G781" s="4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5.75" customHeight="1" x14ac:dyDescent="0.2">
      <c r="A782" s="5"/>
      <c r="B782" s="5"/>
      <c r="C782" s="5"/>
      <c r="D782" s="5"/>
      <c r="E782" s="5"/>
      <c r="F782" s="5"/>
      <c r="G782" s="4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5.75" customHeight="1" x14ac:dyDescent="0.2">
      <c r="A783" s="5"/>
      <c r="B783" s="5"/>
      <c r="C783" s="5"/>
      <c r="D783" s="5"/>
      <c r="E783" s="5"/>
      <c r="F783" s="5"/>
      <c r="G783" s="4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5.75" customHeight="1" x14ac:dyDescent="0.2">
      <c r="A784" s="5"/>
      <c r="B784" s="5"/>
      <c r="C784" s="5"/>
      <c r="D784" s="5"/>
      <c r="E784" s="5"/>
      <c r="F784" s="5"/>
      <c r="G784" s="4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5.75" customHeight="1" x14ac:dyDescent="0.2">
      <c r="A785" s="5"/>
      <c r="B785" s="5"/>
      <c r="C785" s="5"/>
      <c r="D785" s="5"/>
      <c r="E785" s="5"/>
      <c r="F785" s="5"/>
      <c r="G785" s="4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5.75" customHeight="1" x14ac:dyDescent="0.2">
      <c r="A786" s="5"/>
      <c r="B786" s="5"/>
      <c r="C786" s="5"/>
      <c r="D786" s="5"/>
      <c r="E786" s="5"/>
      <c r="F786" s="5"/>
      <c r="G786" s="4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5.75" customHeight="1" x14ac:dyDescent="0.2">
      <c r="A787" s="5"/>
      <c r="B787" s="5"/>
      <c r="C787" s="5"/>
      <c r="D787" s="5"/>
      <c r="E787" s="5"/>
      <c r="F787" s="5"/>
      <c r="G787" s="4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5.75" customHeight="1" x14ac:dyDescent="0.2">
      <c r="A788" s="5"/>
      <c r="B788" s="5"/>
      <c r="C788" s="5"/>
      <c r="D788" s="5"/>
      <c r="E788" s="5"/>
      <c r="F788" s="5"/>
      <c r="G788" s="4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5.75" customHeight="1" x14ac:dyDescent="0.2">
      <c r="A789" s="5"/>
      <c r="B789" s="5"/>
      <c r="C789" s="5"/>
      <c r="D789" s="5"/>
      <c r="E789" s="5"/>
      <c r="F789" s="5"/>
      <c r="G789" s="4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5.75" customHeight="1" x14ac:dyDescent="0.2">
      <c r="A790" s="5"/>
      <c r="B790" s="5"/>
      <c r="C790" s="5"/>
      <c r="D790" s="5"/>
      <c r="E790" s="5"/>
      <c r="F790" s="5"/>
      <c r="G790" s="4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5.75" customHeight="1" x14ac:dyDescent="0.2">
      <c r="A791" s="5"/>
      <c r="B791" s="5"/>
      <c r="C791" s="5"/>
      <c r="D791" s="5"/>
      <c r="E791" s="5"/>
      <c r="F791" s="5"/>
      <c r="G791" s="4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5.75" customHeight="1" x14ac:dyDescent="0.2">
      <c r="A792" s="5"/>
      <c r="B792" s="5"/>
      <c r="C792" s="5"/>
      <c r="D792" s="5"/>
      <c r="E792" s="5"/>
      <c r="F792" s="5"/>
      <c r="G792" s="4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5.75" customHeight="1" x14ac:dyDescent="0.2">
      <c r="A793" s="5"/>
      <c r="B793" s="5"/>
      <c r="C793" s="5"/>
      <c r="D793" s="5"/>
      <c r="E793" s="5"/>
      <c r="F793" s="5"/>
      <c r="G793" s="4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5.75" customHeight="1" x14ac:dyDescent="0.2">
      <c r="A794" s="5"/>
      <c r="B794" s="5"/>
      <c r="C794" s="5"/>
      <c r="D794" s="5"/>
      <c r="E794" s="5"/>
      <c r="F794" s="5"/>
      <c r="G794" s="4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5.75" customHeight="1" x14ac:dyDescent="0.2">
      <c r="A795" s="5"/>
      <c r="B795" s="5"/>
      <c r="C795" s="5"/>
      <c r="D795" s="5"/>
      <c r="E795" s="5"/>
      <c r="F795" s="5"/>
      <c r="G795" s="4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5.75" customHeight="1" x14ac:dyDescent="0.2">
      <c r="A796" s="5"/>
      <c r="B796" s="5"/>
      <c r="C796" s="5"/>
      <c r="D796" s="5"/>
      <c r="E796" s="5"/>
      <c r="F796" s="5"/>
      <c r="G796" s="4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5.75" customHeight="1" x14ac:dyDescent="0.2">
      <c r="A797" s="5"/>
      <c r="B797" s="5"/>
      <c r="C797" s="5"/>
      <c r="D797" s="5"/>
      <c r="E797" s="5"/>
      <c r="F797" s="5"/>
      <c r="G797" s="4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5.75" customHeight="1" x14ac:dyDescent="0.2">
      <c r="A798" s="5"/>
      <c r="B798" s="5"/>
      <c r="C798" s="5"/>
      <c r="D798" s="5"/>
      <c r="E798" s="5"/>
      <c r="F798" s="5"/>
      <c r="G798" s="4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5.75" customHeight="1" x14ac:dyDescent="0.2">
      <c r="A799" s="5"/>
      <c r="B799" s="5"/>
      <c r="C799" s="5"/>
      <c r="D799" s="5"/>
      <c r="E799" s="5"/>
      <c r="F799" s="5"/>
      <c r="G799" s="4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5.75" customHeight="1" x14ac:dyDescent="0.2">
      <c r="A800" s="5"/>
      <c r="B800" s="5"/>
      <c r="C800" s="5"/>
      <c r="D800" s="5"/>
      <c r="E800" s="5"/>
      <c r="F800" s="5"/>
      <c r="G800" s="4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5.75" customHeight="1" x14ac:dyDescent="0.2">
      <c r="A801" s="5"/>
      <c r="B801" s="5"/>
      <c r="C801" s="5"/>
      <c r="D801" s="5"/>
      <c r="E801" s="5"/>
      <c r="F801" s="5"/>
      <c r="G801" s="4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5.75" customHeight="1" x14ac:dyDescent="0.2">
      <c r="A802" s="5"/>
      <c r="B802" s="5"/>
      <c r="C802" s="5"/>
      <c r="D802" s="5"/>
      <c r="E802" s="5"/>
      <c r="F802" s="5"/>
      <c r="G802" s="4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5.75" customHeight="1" x14ac:dyDescent="0.2">
      <c r="A803" s="5"/>
      <c r="B803" s="5"/>
      <c r="C803" s="5"/>
      <c r="D803" s="5"/>
      <c r="E803" s="5"/>
      <c r="F803" s="5"/>
      <c r="G803" s="4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5.75" customHeight="1" x14ac:dyDescent="0.2">
      <c r="A804" s="5"/>
      <c r="B804" s="5"/>
      <c r="C804" s="5"/>
      <c r="D804" s="5"/>
      <c r="E804" s="5"/>
      <c r="F804" s="5"/>
      <c r="G804" s="4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5.75" customHeight="1" x14ac:dyDescent="0.2">
      <c r="A805" s="5"/>
      <c r="B805" s="5"/>
      <c r="C805" s="5"/>
      <c r="D805" s="5"/>
      <c r="E805" s="5"/>
      <c r="F805" s="5"/>
      <c r="G805" s="4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5.75" customHeight="1" x14ac:dyDescent="0.2">
      <c r="A806" s="5"/>
      <c r="B806" s="5"/>
      <c r="C806" s="5"/>
      <c r="D806" s="5"/>
      <c r="E806" s="5"/>
      <c r="F806" s="5"/>
      <c r="G806" s="4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5.75" customHeight="1" x14ac:dyDescent="0.2">
      <c r="A807" s="5"/>
      <c r="B807" s="5"/>
      <c r="C807" s="5"/>
      <c r="D807" s="5"/>
      <c r="E807" s="5"/>
      <c r="F807" s="5"/>
      <c r="G807" s="4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5.75" customHeight="1" x14ac:dyDescent="0.2">
      <c r="A808" s="5"/>
      <c r="B808" s="5"/>
      <c r="C808" s="5"/>
      <c r="D808" s="5"/>
      <c r="E808" s="5"/>
      <c r="F808" s="5"/>
      <c r="G808" s="4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5.75" customHeight="1" x14ac:dyDescent="0.2">
      <c r="A809" s="5"/>
      <c r="B809" s="5"/>
      <c r="C809" s="5"/>
      <c r="D809" s="5"/>
      <c r="E809" s="5"/>
      <c r="F809" s="5"/>
      <c r="G809" s="4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5.75" customHeight="1" x14ac:dyDescent="0.2">
      <c r="A810" s="5"/>
      <c r="B810" s="5"/>
      <c r="C810" s="5"/>
      <c r="D810" s="5"/>
      <c r="E810" s="5"/>
      <c r="F810" s="5"/>
      <c r="G810" s="4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5.75" customHeight="1" x14ac:dyDescent="0.2">
      <c r="A811" s="5"/>
      <c r="B811" s="5"/>
      <c r="C811" s="5"/>
      <c r="D811" s="5"/>
      <c r="E811" s="5"/>
      <c r="F811" s="5"/>
      <c r="G811" s="4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5.75" customHeight="1" x14ac:dyDescent="0.2">
      <c r="A812" s="5"/>
      <c r="B812" s="5"/>
      <c r="C812" s="5"/>
      <c r="D812" s="5"/>
      <c r="E812" s="5"/>
      <c r="F812" s="5"/>
      <c r="G812" s="4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5.75" customHeight="1" x14ac:dyDescent="0.2">
      <c r="A813" s="5"/>
      <c r="B813" s="5"/>
      <c r="C813" s="5"/>
      <c r="D813" s="5"/>
      <c r="E813" s="5"/>
      <c r="F813" s="5"/>
      <c r="G813" s="4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5.75" customHeight="1" x14ac:dyDescent="0.2">
      <c r="A814" s="5"/>
      <c r="B814" s="5"/>
      <c r="C814" s="5"/>
      <c r="D814" s="5"/>
      <c r="E814" s="5"/>
      <c r="F814" s="5"/>
      <c r="G814" s="4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5.75" customHeight="1" x14ac:dyDescent="0.2">
      <c r="A815" s="5"/>
      <c r="B815" s="5"/>
      <c r="C815" s="5"/>
      <c r="D815" s="5"/>
      <c r="E815" s="5"/>
      <c r="F815" s="5"/>
      <c r="G815" s="4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5.75" customHeight="1" x14ac:dyDescent="0.2">
      <c r="A816" s="5"/>
      <c r="B816" s="5"/>
      <c r="C816" s="5"/>
      <c r="D816" s="5"/>
      <c r="E816" s="5"/>
      <c r="F816" s="5"/>
      <c r="G816" s="4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5.75" customHeight="1" x14ac:dyDescent="0.2">
      <c r="A817" s="5"/>
      <c r="B817" s="5"/>
      <c r="C817" s="5"/>
      <c r="D817" s="5"/>
      <c r="E817" s="5"/>
      <c r="F817" s="5"/>
      <c r="G817" s="4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5.75" customHeight="1" x14ac:dyDescent="0.2">
      <c r="A818" s="5"/>
      <c r="B818" s="5"/>
      <c r="C818" s="5"/>
      <c r="D818" s="5"/>
      <c r="E818" s="5"/>
      <c r="F818" s="5"/>
      <c r="G818" s="4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5.75" customHeight="1" x14ac:dyDescent="0.2">
      <c r="A819" s="5"/>
      <c r="B819" s="5"/>
      <c r="C819" s="5"/>
      <c r="D819" s="5"/>
      <c r="E819" s="5"/>
      <c r="F819" s="5"/>
      <c r="G819" s="4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5.75" customHeight="1" x14ac:dyDescent="0.2">
      <c r="A820" s="5"/>
      <c r="B820" s="5"/>
      <c r="C820" s="5"/>
      <c r="D820" s="5"/>
      <c r="E820" s="5"/>
      <c r="F820" s="5"/>
      <c r="G820" s="4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5.75" customHeight="1" x14ac:dyDescent="0.2">
      <c r="A821" s="5"/>
      <c r="B821" s="5"/>
      <c r="C821" s="5"/>
      <c r="D821" s="5"/>
      <c r="E821" s="5"/>
      <c r="F821" s="5"/>
      <c r="G821" s="4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5.75" customHeight="1" x14ac:dyDescent="0.2">
      <c r="A822" s="5"/>
      <c r="B822" s="5"/>
      <c r="C822" s="5"/>
      <c r="D822" s="5"/>
      <c r="E822" s="5"/>
      <c r="F822" s="5"/>
      <c r="G822" s="4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5.75" customHeight="1" x14ac:dyDescent="0.2">
      <c r="A823" s="5"/>
      <c r="B823" s="5"/>
      <c r="C823" s="5"/>
      <c r="D823" s="5"/>
      <c r="E823" s="5"/>
      <c r="F823" s="5"/>
      <c r="G823" s="4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5.75" customHeight="1" x14ac:dyDescent="0.2">
      <c r="A824" s="5"/>
      <c r="B824" s="5"/>
      <c r="C824" s="5"/>
      <c r="D824" s="5"/>
      <c r="E824" s="5"/>
      <c r="F824" s="5"/>
      <c r="G824" s="4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5.75" customHeight="1" x14ac:dyDescent="0.2">
      <c r="A825" s="5"/>
      <c r="B825" s="5"/>
      <c r="C825" s="5"/>
      <c r="D825" s="5"/>
      <c r="E825" s="5"/>
      <c r="F825" s="5"/>
      <c r="G825" s="4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5.75" customHeight="1" x14ac:dyDescent="0.2">
      <c r="A826" s="5"/>
      <c r="B826" s="5"/>
      <c r="C826" s="5"/>
      <c r="D826" s="5"/>
      <c r="E826" s="5"/>
      <c r="F826" s="5"/>
      <c r="G826" s="4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5.75" customHeight="1" x14ac:dyDescent="0.2">
      <c r="A827" s="5"/>
      <c r="B827" s="5"/>
      <c r="C827" s="5"/>
      <c r="D827" s="5"/>
      <c r="E827" s="5"/>
      <c r="F827" s="5"/>
      <c r="G827" s="4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5.75" customHeight="1" x14ac:dyDescent="0.2">
      <c r="A828" s="5"/>
      <c r="B828" s="5"/>
      <c r="C828" s="5"/>
      <c r="D828" s="5"/>
      <c r="E828" s="5"/>
      <c r="F828" s="5"/>
      <c r="G828" s="4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5.75" customHeight="1" x14ac:dyDescent="0.2">
      <c r="A829" s="5"/>
      <c r="B829" s="5"/>
      <c r="C829" s="5"/>
      <c r="D829" s="5"/>
      <c r="E829" s="5"/>
      <c r="F829" s="5"/>
      <c r="G829" s="4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5.75" customHeight="1" x14ac:dyDescent="0.2">
      <c r="A830" s="5"/>
      <c r="B830" s="5"/>
      <c r="C830" s="5"/>
      <c r="D830" s="5"/>
      <c r="E830" s="5"/>
      <c r="F830" s="5"/>
      <c r="G830" s="4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5.75" customHeight="1" x14ac:dyDescent="0.2">
      <c r="A831" s="5"/>
      <c r="B831" s="5"/>
      <c r="C831" s="5"/>
      <c r="D831" s="5"/>
      <c r="E831" s="5"/>
      <c r="F831" s="5"/>
      <c r="G831" s="4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5.75" customHeight="1" x14ac:dyDescent="0.2">
      <c r="A832" s="5"/>
      <c r="B832" s="5"/>
      <c r="C832" s="5"/>
      <c r="D832" s="5"/>
      <c r="E832" s="5"/>
      <c r="F832" s="5"/>
      <c r="G832" s="4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5.75" customHeight="1" x14ac:dyDescent="0.2">
      <c r="A833" s="5"/>
      <c r="B833" s="5"/>
      <c r="C833" s="5"/>
      <c r="D833" s="5"/>
      <c r="E833" s="5"/>
      <c r="F833" s="5"/>
      <c r="G833" s="4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5.75" customHeight="1" x14ac:dyDescent="0.2">
      <c r="A834" s="5"/>
      <c r="B834" s="5"/>
      <c r="C834" s="5"/>
      <c r="D834" s="5"/>
      <c r="E834" s="5"/>
      <c r="F834" s="5"/>
      <c r="G834" s="4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5.75" customHeight="1" x14ac:dyDescent="0.2">
      <c r="A835" s="5"/>
      <c r="B835" s="5"/>
      <c r="C835" s="5"/>
      <c r="D835" s="5"/>
      <c r="E835" s="5"/>
      <c r="F835" s="5"/>
      <c r="G835" s="4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5.75" customHeight="1" x14ac:dyDescent="0.2">
      <c r="A836" s="5"/>
      <c r="B836" s="5"/>
      <c r="C836" s="5"/>
      <c r="D836" s="5"/>
      <c r="E836" s="5"/>
      <c r="F836" s="5"/>
      <c r="G836" s="4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5.75" customHeight="1" x14ac:dyDescent="0.2">
      <c r="A837" s="5"/>
      <c r="B837" s="5"/>
      <c r="C837" s="5"/>
      <c r="D837" s="5"/>
      <c r="E837" s="5"/>
      <c r="F837" s="5"/>
      <c r="G837" s="4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5.75" customHeight="1" x14ac:dyDescent="0.2">
      <c r="A838" s="5"/>
      <c r="B838" s="5"/>
      <c r="C838" s="5"/>
      <c r="D838" s="5"/>
      <c r="E838" s="5"/>
      <c r="F838" s="5"/>
      <c r="G838" s="4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5.75" customHeight="1" x14ac:dyDescent="0.2">
      <c r="A839" s="5"/>
      <c r="B839" s="5"/>
      <c r="C839" s="5"/>
      <c r="D839" s="5"/>
      <c r="E839" s="5"/>
      <c r="F839" s="5"/>
      <c r="G839" s="4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5.75" customHeight="1" x14ac:dyDescent="0.2">
      <c r="A840" s="5"/>
      <c r="B840" s="5"/>
      <c r="C840" s="5"/>
      <c r="D840" s="5"/>
      <c r="E840" s="5"/>
      <c r="F840" s="5"/>
      <c r="G840" s="4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5.75" customHeight="1" x14ac:dyDescent="0.2">
      <c r="A841" s="5"/>
      <c r="B841" s="5"/>
      <c r="C841" s="5"/>
      <c r="D841" s="5"/>
      <c r="E841" s="5"/>
      <c r="F841" s="5"/>
      <c r="G841" s="4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5.75" customHeight="1" x14ac:dyDescent="0.2">
      <c r="A842" s="5"/>
      <c r="B842" s="5"/>
      <c r="C842" s="5"/>
      <c r="D842" s="5"/>
      <c r="E842" s="5"/>
      <c r="F842" s="5"/>
      <c r="G842" s="4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5.75" customHeight="1" x14ac:dyDescent="0.2">
      <c r="A843" s="5"/>
      <c r="B843" s="5"/>
      <c r="C843" s="5"/>
      <c r="D843" s="5"/>
      <c r="E843" s="5"/>
      <c r="F843" s="5"/>
      <c r="G843" s="4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5.75" customHeight="1" x14ac:dyDescent="0.2">
      <c r="A844" s="5"/>
      <c r="B844" s="5"/>
      <c r="C844" s="5"/>
      <c r="D844" s="5"/>
      <c r="E844" s="5"/>
      <c r="F844" s="5"/>
      <c r="G844" s="4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5.75" customHeight="1" x14ac:dyDescent="0.2">
      <c r="A845" s="5"/>
      <c r="B845" s="5"/>
      <c r="C845" s="5"/>
      <c r="D845" s="5"/>
      <c r="E845" s="5"/>
      <c r="F845" s="5"/>
      <c r="G845" s="4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5.75" customHeight="1" x14ac:dyDescent="0.2">
      <c r="A846" s="5"/>
      <c r="B846" s="5"/>
      <c r="C846" s="5"/>
      <c r="D846" s="5"/>
      <c r="E846" s="5"/>
      <c r="F846" s="5"/>
      <c r="G846" s="4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5.75" customHeight="1" x14ac:dyDescent="0.2">
      <c r="A847" s="5"/>
      <c r="B847" s="5"/>
      <c r="C847" s="5"/>
      <c r="D847" s="5"/>
      <c r="E847" s="5"/>
      <c r="F847" s="5"/>
      <c r="G847" s="4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5.75" customHeight="1" x14ac:dyDescent="0.2">
      <c r="A848" s="5"/>
      <c r="B848" s="5"/>
      <c r="C848" s="5"/>
      <c r="D848" s="5"/>
      <c r="E848" s="5"/>
      <c r="F848" s="5"/>
      <c r="G848" s="4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5.75" customHeight="1" x14ac:dyDescent="0.2">
      <c r="A849" s="5"/>
      <c r="B849" s="5"/>
      <c r="C849" s="5"/>
      <c r="D849" s="5"/>
      <c r="E849" s="5"/>
      <c r="F849" s="5"/>
      <c r="G849" s="4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5.75" customHeight="1" x14ac:dyDescent="0.2">
      <c r="A850" s="5"/>
      <c r="B850" s="5"/>
      <c r="C850" s="5"/>
      <c r="D850" s="5"/>
      <c r="E850" s="5"/>
      <c r="F850" s="5"/>
      <c r="G850" s="4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5.75" customHeight="1" x14ac:dyDescent="0.2">
      <c r="A851" s="5"/>
      <c r="B851" s="5"/>
      <c r="C851" s="5"/>
      <c r="D851" s="5"/>
      <c r="E851" s="5"/>
      <c r="F851" s="5"/>
      <c r="G851" s="4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5.75" customHeight="1" x14ac:dyDescent="0.2">
      <c r="A852" s="5"/>
      <c r="B852" s="5"/>
      <c r="C852" s="5"/>
      <c r="D852" s="5"/>
      <c r="E852" s="5"/>
      <c r="F852" s="5"/>
      <c r="G852" s="4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5.75" customHeight="1" x14ac:dyDescent="0.2">
      <c r="A853" s="5"/>
      <c r="B853" s="5"/>
      <c r="C853" s="5"/>
      <c r="D853" s="5"/>
      <c r="E853" s="5"/>
      <c r="F853" s="5"/>
      <c r="G853" s="4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5.75" customHeight="1" x14ac:dyDescent="0.2">
      <c r="A854" s="5"/>
      <c r="B854" s="5"/>
      <c r="C854" s="5"/>
      <c r="D854" s="5"/>
      <c r="E854" s="5"/>
      <c r="F854" s="5"/>
      <c r="G854" s="4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5.75" customHeight="1" x14ac:dyDescent="0.2">
      <c r="A855" s="5"/>
      <c r="B855" s="5"/>
      <c r="C855" s="5"/>
      <c r="D855" s="5"/>
      <c r="E855" s="5"/>
      <c r="F855" s="5"/>
      <c r="G855" s="4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5.75" customHeight="1" x14ac:dyDescent="0.2">
      <c r="A856" s="5"/>
      <c r="B856" s="5"/>
      <c r="C856" s="5"/>
      <c r="D856" s="5"/>
      <c r="E856" s="5"/>
      <c r="F856" s="5"/>
      <c r="G856" s="4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5.75" customHeight="1" x14ac:dyDescent="0.2">
      <c r="A857" s="5"/>
      <c r="B857" s="5"/>
      <c r="C857" s="5"/>
      <c r="D857" s="5"/>
      <c r="E857" s="5"/>
      <c r="F857" s="5"/>
      <c r="G857" s="4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5.75" customHeight="1" x14ac:dyDescent="0.2">
      <c r="A858" s="5"/>
      <c r="B858" s="5"/>
      <c r="C858" s="5"/>
      <c r="D858" s="5"/>
      <c r="E858" s="5"/>
      <c r="F858" s="5"/>
      <c r="G858" s="4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5.75" customHeight="1" x14ac:dyDescent="0.2">
      <c r="A859" s="5"/>
      <c r="B859" s="5"/>
      <c r="C859" s="5"/>
      <c r="D859" s="5"/>
      <c r="E859" s="5"/>
      <c r="F859" s="5"/>
      <c r="G859" s="4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5.75" customHeight="1" x14ac:dyDescent="0.2">
      <c r="A860" s="5"/>
      <c r="B860" s="5"/>
      <c r="C860" s="5"/>
      <c r="D860" s="5"/>
      <c r="E860" s="5"/>
      <c r="F860" s="5"/>
      <c r="G860" s="4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5.75" customHeight="1" x14ac:dyDescent="0.2">
      <c r="A861" s="5"/>
      <c r="B861" s="5"/>
      <c r="C861" s="5"/>
      <c r="D861" s="5"/>
      <c r="E861" s="5"/>
      <c r="F861" s="5"/>
      <c r="G861" s="4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5.75" customHeight="1" x14ac:dyDescent="0.2">
      <c r="A862" s="5"/>
      <c r="B862" s="5"/>
      <c r="C862" s="5"/>
      <c r="D862" s="5"/>
      <c r="E862" s="5"/>
      <c r="F862" s="5"/>
      <c r="G862" s="4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5.75" customHeight="1" x14ac:dyDescent="0.2">
      <c r="A863" s="5"/>
      <c r="B863" s="5"/>
      <c r="C863" s="5"/>
      <c r="D863" s="5"/>
      <c r="E863" s="5"/>
      <c r="F863" s="5"/>
      <c r="G863" s="4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5.75" customHeight="1" x14ac:dyDescent="0.2">
      <c r="A864" s="5"/>
      <c r="B864" s="5"/>
      <c r="C864" s="5"/>
      <c r="D864" s="5"/>
      <c r="E864" s="5"/>
      <c r="F864" s="5"/>
      <c r="G864" s="4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5.75" customHeight="1" x14ac:dyDescent="0.2">
      <c r="A865" s="5"/>
      <c r="B865" s="5"/>
      <c r="C865" s="5"/>
      <c r="D865" s="5"/>
      <c r="E865" s="5"/>
      <c r="F865" s="5"/>
      <c r="G865" s="4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5.75" customHeight="1" x14ac:dyDescent="0.2">
      <c r="A866" s="5"/>
      <c r="B866" s="5"/>
      <c r="C866" s="5"/>
      <c r="D866" s="5"/>
      <c r="E866" s="5"/>
      <c r="F866" s="5"/>
      <c r="G866" s="4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5.75" customHeight="1" x14ac:dyDescent="0.2">
      <c r="A867" s="5"/>
      <c r="B867" s="5"/>
      <c r="C867" s="5"/>
      <c r="D867" s="5"/>
      <c r="E867" s="5"/>
      <c r="F867" s="5"/>
      <c r="G867" s="4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5.75" customHeight="1" x14ac:dyDescent="0.2">
      <c r="A868" s="5"/>
      <c r="B868" s="5"/>
      <c r="C868" s="5"/>
      <c r="D868" s="5"/>
      <c r="E868" s="5"/>
      <c r="F868" s="5"/>
      <c r="G868" s="4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5.75" customHeight="1" x14ac:dyDescent="0.2">
      <c r="A869" s="5"/>
      <c r="B869" s="5"/>
      <c r="C869" s="5"/>
      <c r="D869" s="5"/>
      <c r="E869" s="5"/>
      <c r="F869" s="5"/>
      <c r="G869" s="4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5.75" customHeight="1" x14ac:dyDescent="0.2">
      <c r="A870" s="5"/>
      <c r="B870" s="5"/>
      <c r="C870" s="5"/>
      <c r="D870" s="5"/>
      <c r="E870" s="5"/>
      <c r="F870" s="5"/>
      <c r="G870" s="4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5.75" customHeight="1" x14ac:dyDescent="0.2">
      <c r="A871" s="5"/>
      <c r="B871" s="5"/>
      <c r="C871" s="5"/>
      <c r="D871" s="5"/>
      <c r="E871" s="5"/>
      <c r="F871" s="5"/>
      <c r="G871" s="4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5.75" customHeight="1" x14ac:dyDescent="0.2">
      <c r="A872" s="5"/>
      <c r="B872" s="5"/>
      <c r="C872" s="5"/>
      <c r="D872" s="5"/>
      <c r="E872" s="5"/>
      <c r="F872" s="5"/>
      <c r="G872" s="4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5.75" customHeight="1" x14ac:dyDescent="0.2">
      <c r="A873" s="5"/>
      <c r="B873" s="5"/>
      <c r="C873" s="5"/>
      <c r="D873" s="5"/>
      <c r="E873" s="5"/>
      <c r="F873" s="5"/>
      <c r="G873" s="4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5.75" customHeight="1" x14ac:dyDescent="0.2">
      <c r="A874" s="5"/>
      <c r="B874" s="5"/>
      <c r="C874" s="5"/>
      <c r="D874" s="5"/>
      <c r="E874" s="5"/>
      <c r="F874" s="5"/>
      <c r="G874" s="4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5.75" customHeight="1" x14ac:dyDescent="0.2">
      <c r="A875" s="5"/>
      <c r="B875" s="5"/>
      <c r="C875" s="5"/>
      <c r="D875" s="5"/>
      <c r="E875" s="5"/>
      <c r="F875" s="5"/>
      <c r="G875" s="4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5.75" customHeight="1" x14ac:dyDescent="0.2">
      <c r="A876" s="5"/>
      <c r="B876" s="5"/>
      <c r="C876" s="5"/>
      <c r="D876" s="5"/>
      <c r="E876" s="5"/>
      <c r="F876" s="5"/>
      <c r="G876" s="4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5.75" customHeight="1" x14ac:dyDescent="0.2">
      <c r="A877" s="5"/>
      <c r="B877" s="5"/>
      <c r="C877" s="5"/>
      <c r="D877" s="5"/>
      <c r="E877" s="5"/>
      <c r="F877" s="5"/>
      <c r="G877" s="4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5.75" customHeight="1" x14ac:dyDescent="0.2">
      <c r="A878" s="5"/>
      <c r="B878" s="5"/>
      <c r="C878" s="5"/>
      <c r="D878" s="5"/>
      <c r="E878" s="5"/>
      <c r="F878" s="5"/>
      <c r="G878" s="4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5.75" customHeight="1" x14ac:dyDescent="0.2">
      <c r="A879" s="5"/>
      <c r="B879" s="5"/>
      <c r="C879" s="5"/>
      <c r="D879" s="5"/>
      <c r="E879" s="5"/>
      <c r="F879" s="5"/>
      <c r="G879" s="4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5.75" customHeight="1" x14ac:dyDescent="0.2">
      <c r="A880" s="5"/>
      <c r="B880" s="5"/>
      <c r="C880" s="5"/>
      <c r="D880" s="5"/>
      <c r="E880" s="5"/>
      <c r="F880" s="5"/>
      <c r="G880" s="4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5.75" customHeight="1" x14ac:dyDescent="0.2">
      <c r="A881" s="5"/>
      <c r="B881" s="5"/>
      <c r="C881" s="5"/>
      <c r="D881" s="5"/>
      <c r="E881" s="5"/>
      <c r="F881" s="5"/>
      <c r="G881" s="4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5.75" customHeight="1" x14ac:dyDescent="0.2">
      <c r="A882" s="5"/>
      <c r="B882" s="5"/>
      <c r="C882" s="5"/>
      <c r="D882" s="5"/>
      <c r="E882" s="5"/>
      <c r="F882" s="5"/>
      <c r="G882" s="4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5.75" customHeight="1" x14ac:dyDescent="0.2">
      <c r="A883" s="5"/>
      <c r="B883" s="5"/>
      <c r="C883" s="5"/>
      <c r="D883" s="5"/>
      <c r="E883" s="5"/>
      <c r="F883" s="5"/>
      <c r="G883" s="4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5.75" customHeight="1" x14ac:dyDescent="0.2">
      <c r="A884" s="5"/>
      <c r="B884" s="5"/>
      <c r="C884" s="5"/>
      <c r="D884" s="5"/>
      <c r="E884" s="5"/>
      <c r="F884" s="5"/>
      <c r="G884" s="4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5.75" customHeight="1" x14ac:dyDescent="0.2">
      <c r="A885" s="5"/>
      <c r="B885" s="5"/>
      <c r="C885" s="5"/>
      <c r="D885" s="5"/>
      <c r="E885" s="5"/>
      <c r="F885" s="5"/>
      <c r="G885" s="4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5.75" customHeight="1" x14ac:dyDescent="0.2">
      <c r="A886" s="5"/>
      <c r="B886" s="5"/>
      <c r="C886" s="5"/>
      <c r="D886" s="5"/>
      <c r="E886" s="5"/>
      <c r="F886" s="5"/>
      <c r="G886" s="4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5.75" customHeight="1" x14ac:dyDescent="0.2">
      <c r="A887" s="5"/>
      <c r="B887" s="5"/>
      <c r="C887" s="5"/>
      <c r="D887" s="5"/>
      <c r="E887" s="5"/>
      <c r="F887" s="5"/>
      <c r="G887" s="4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5.75" customHeight="1" x14ac:dyDescent="0.2">
      <c r="A888" s="5"/>
      <c r="B888" s="5"/>
      <c r="C888" s="5"/>
      <c r="D888" s="5"/>
      <c r="E888" s="5"/>
      <c r="F888" s="5"/>
      <c r="G888" s="4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5.75" customHeight="1" x14ac:dyDescent="0.2">
      <c r="A889" s="5"/>
      <c r="B889" s="5"/>
      <c r="C889" s="5"/>
      <c r="D889" s="5"/>
      <c r="E889" s="5"/>
      <c r="F889" s="5"/>
      <c r="G889" s="4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5.75" customHeight="1" x14ac:dyDescent="0.2">
      <c r="A890" s="5"/>
      <c r="B890" s="5"/>
      <c r="C890" s="5"/>
      <c r="D890" s="5"/>
      <c r="E890" s="5"/>
      <c r="F890" s="5"/>
      <c r="G890" s="4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5.75" customHeight="1" x14ac:dyDescent="0.2">
      <c r="A891" s="5"/>
      <c r="B891" s="5"/>
      <c r="C891" s="5"/>
      <c r="D891" s="5"/>
      <c r="E891" s="5"/>
      <c r="F891" s="5"/>
      <c r="G891" s="4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5.75" customHeight="1" x14ac:dyDescent="0.2">
      <c r="A892" s="5"/>
      <c r="B892" s="5"/>
      <c r="C892" s="5"/>
      <c r="D892" s="5"/>
      <c r="E892" s="5"/>
      <c r="F892" s="5"/>
      <c r="G892" s="4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5.75" customHeight="1" x14ac:dyDescent="0.2">
      <c r="A893" s="5"/>
      <c r="B893" s="5"/>
      <c r="C893" s="5"/>
      <c r="D893" s="5"/>
      <c r="E893" s="5"/>
      <c r="F893" s="5"/>
      <c r="G893" s="4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5.75" customHeight="1" x14ac:dyDescent="0.2">
      <c r="A894" s="5"/>
      <c r="B894" s="5"/>
      <c r="C894" s="5"/>
      <c r="D894" s="5"/>
      <c r="E894" s="5"/>
      <c r="F894" s="5"/>
      <c r="G894" s="4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5.75" customHeight="1" x14ac:dyDescent="0.2">
      <c r="A895" s="5"/>
      <c r="B895" s="5"/>
      <c r="C895" s="5"/>
      <c r="D895" s="5"/>
      <c r="E895" s="5"/>
      <c r="F895" s="5"/>
      <c r="G895" s="4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5.75" customHeight="1" x14ac:dyDescent="0.2">
      <c r="A896" s="5"/>
      <c r="B896" s="5"/>
      <c r="C896" s="5"/>
      <c r="D896" s="5"/>
      <c r="E896" s="5"/>
      <c r="F896" s="5"/>
      <c r="G896" s="4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5.75" customHeight="1" x14ac:dyDescent="0.2">
      <c r="A897" s="5"/>
      <c r="B897" s="5"/>
      <c r="C897" s="5"/>
      <c r="D897" s="5"/>
      <c r="E897" s="5"/>
      <c r="F897" s="5"/>
      <c r="G897" s="4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5.75" customHeight="1" x14ac:dyDescent="0.2">
      <c r="A898" s="5"/>
      <c r="B898" s="5"/>
      <c r="C898" s="5"/>
      <c r="D898" s="5"/>
      <c r="E898" s="5"/>
      <c r="F898" s="5"/>
      <c r="G898" s="4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5.75" customHeight="1" x14ac:dyDescent="0.2">
      <c r="A899" s="5"/>
      <c r="B899" s="5"/>
      <c r="C899" s="5"/>
      <c r="D899" s="5"/>
      <c r="E899" s="5"/>
      <c r="F899" s="5"/>
      <c r="G899" s="4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5.75" customHeight="1" x14ac:dyDescent="0.2">
      <c r="A900" s="5"/>
      <c r="B900" s="5"/>
      <c r="C900" s="5"/>
      <c r="D900" s="5"/>
      <c r="E900" s="5"/>
      <c r="F900" s="5"/>
      <c r="G900" s="4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5.75" customHeight="1" x14ac:dyDescent="0.2">
      <c r="A901" s="5"/>
      <c r="B901" s="5"/>
      <c r="C901" s="5"/>
      <c r="D901" s="5"/>
      <c r="E901" s="5"/>
      <c r="F901" s="5"/>
      <c r="G901" s="4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5.75" customHeight="1" x14ac:dyDescent="0.2">
      <c r="A902" s="5"/>
      <c r="B902" s="5"/>
      <c r="C902" s="5"/>
      <c r="D902" s="5"/>
      <c r="E902" s="5"/>
      <c r="F902" s="5"/>
      <c r="G902" s="4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5.75" customHeight="1" x14ac:dyDescent="0.2">
      <c r="A903" s="5"/>
      <c r="B903" s="5"/>
      <c r="C903" s="5"/>
      <c r="D903" s="5"/>
      <c r="E903" s="5"/>
      <c r="F903" s="5"/>
      <c r="G903" s="4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5.75" customHeight="1" x14ac:dyDescent="0.2">
      <c r="A904" s="5"/>
      <c r="B904" s="5"/>
      <c r="C904" s="5"/>
      <c r="D904" s="5"/>
      <c r="E904" s="5"/>
      <c r="F904" s="5"/>
      <c r="G904" s="4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5.75" customHeight="1" x14ac:dyDescent="0.2">
      <c r="A905" s="5"/>
      <c r="B905" s="5"/>
      <c r="C905" s="5"/>
      <c r="D905" s="5"/>
      <c r="E905" s="5"/>
      <c r="F905" s="5"/>
      <c r="G905" s="4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5.75" customHeight="1" x14ac:dyDescent="0.2">
      <c r="A906" s="5"/>
      <c r="B906" s="5"/>
      <c r="C906" s="5"/>
      <c r="D906" s="5"/>
      <c r="E906" s="5"/>
      <c r="F906" s="5"/>
      <c r="G906" s="4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5.75" customHeight="1" x14ac:dyDescent="0.2">
      <c r="A907" s="5"/>
      <c r="B907" s="5"/>
      <c r="C907" s="5"/>
      <c r="D907" s="5"/>
      <c r="E907" s="5"/>
      <c r="F907" s="5"/>
      <c r="G907" s="4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5.75" customHeight="1" x14ac:dyDescent="0.2">
      <c r="A908" s="5"/>
      <c r="B908" s="5"/>
      <c r="C908" s="5"/>
      <c r="D908" s="5"/>
      <c r="E908" s="5"/>
      <c r="F908" s="5"/>
      <c r="G908" s="4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5.75" customHeight="1" x14ac:dyDescent="0.2">
      <c r="A909" s="5"/>
      <c r="B909" s="5"/>
      <c r="C909" s="5"/>
      <c r="D909" s="5"/>
      <c r="E909" s="5"/>
      <c r="F909" s="5"/>
      <c r="G909" s="4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5.75" customHeight="1" x14ac:dyDescent="0.2">
      <c r="A910" s="5"/>
      <c r="B910" s="5"/>
      <c r="C910" s="5"/>
      <c r="D910" s="5"/>
      <c r="E910" s="5"/>
      <c r="F910" s="5"/>
      <c r="G910" s="4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5.75" customHeight="1" x14ac:dyDescent="0.2">
      <c r="A911" s="5"/>
      <c r="B911" s="5"/>
      <c r="C911" s="5"/>
      <c r="D911" s="5"/>
      <c r="E911" s="5"/>
      <c r="F911" s="5"/>
      <c r="G911" s="4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5.75" customHeight="1" x14ac:dyDescent="0.2">
      <c r="A912" s="5"/>
      <c r="B912" s="5"/>
      <c r="C912" s="5"/>
      <c r="D912" s="5"/>
      <c r="E912" s="5"/>
      <c r="F912" s="5"/>
      <c r="G912" s="4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5.75" customHeight="1" x14ac:dyDescent="0.2">
      <c r="A913" s="5"/>
      <c r="B913" s="5"/>
      <c r="C913" s="5"/>
      <c r="D913" s="5"/>
      <c r="E913" s="5"/>
      <c r="F913" s="5"/>
      <c r="G913" s="4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5.75" customHeight="1" x14ac:dyDescent="0.2">
      <c r="A914" s="5"/>
      <c r="B914" s="5"/>
      <c r="C914" s="5"/>
      <c r="D914" s="5"/>
      <c r="E914" s="5"/>
      <c r="F914" s="5"/>
      <c r="G914" s="4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5.75" customHeight="1" x14ac:dyDescent="0.2">
      <c r="A915" s="5"/>
      <c r="B915" s="5"/>
      <c r="C915" s="5"/>
      <c r="D915" s="5"/>
      <c r="E915" s="5"/>
      <c r="F915" s="5"/>
      <c r="G915" s="4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5.75" customHeight="1" x14ac:dyDescent="0.2">
      <c r="A916" s="5"/>
      <c r="B916" s="5"/>
      <c r="C916" s="5"/>
      <c r="D916" s="5"/>
      <c r="E916" s="5"/>
      <c r="F916" s="5"/>
      <c r="G916" s="4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5.75" customHeight="1" x14ac:dyDescent="0.2">
      <c r="A917" s="5"/>
      <c r="B917" s="5"/>
      <c r="C917" s="5"/>
      <c r="D917" s="5"/>
      <c r="E917" s="5"/>
      <c r="F917" s="5"/>
      <c r="G917" s="4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5.75" customHeight="1" x14ac:dyDescent="0.2">
      <c r="A918" s="5"/>
      <c r="B918" s="5"/>
      <c r="C918" s="5"/>
      <c r="D918" s="5"/>
      <c r="E918" s="5"/>
      <c r="F918" s="5"/>
      <c r="G918" s="4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5.75" customHeight="1" x14ac:dyDescent="0.2">
      <c r="A919" s="5"/>
      <c r="B919" s="5"/>
      <c r="C919" s="5"/>
      <c r="D919" s="5"/>
      <c r="E919" s="5"/>
      <c r="F919" s="5"/>
      <c r="G919" s="4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5.75" customHeight="1" x14ac:dyDescent="0.2">
      <c r="A920" s="5"/>
      <c r="B920" s="5"/>
      <c r="C920" s="5"/>
      <c r="D920" s="5"/>
      <c r="E920" s="5"/>
      <c r="F920" s="5"/>
      <c r="G920" s="4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5.75" customHeight="1" x14ac:dyDescent="0.2">
      <c r="A921" s="5"/>
      <c r="B921" s="5"/>
      <c r="C921" s="5"/>
      <c r="D921" s="5"/>
      <c r="E921" s="5"/>
      <c r="F921" s="5"/>
      <c r="G921" s="4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5.75" customHeight="1" x14ac:dyDescent="0.2">
      <c r="A922" s="5"/>
      <c r="B922" s="5"/>
      <c r="C922" s="5"/>
      <c r="D922" s="5"/>
      <c r="E922" s="5"/>
      <c r="F922" s="5"/>
      <c r="G922" s="4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5.75" customHeight="1" x14ac:dyDescent="0.2">
      <c r="A923" s="5"/>
      <c r="B923" s="5"/>
      <c r="C923" s="5"/>
      <c r="D923" s="5"/>
      <c r="E923" s="5"/>
      <c r="F923" s="5"/>
      <c r="G923" s="4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5.75" customHeight="1" x14ac:dyDescent="0.2">
      <c r="A924" s="5"/>
      <c r="B924" s="5"/>
      <c r="C924" s="5"/>
      <c r="D924" s="5"/>
      <c r="E924" s="5"/>
      <c r="F924" s="5"/>
      <c r="G924" s="4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5.75" customHeight="1" x14ac:dyDescent="0.2">
      <c r="A925" s="5"/>
      <c r="B925" s="5"/>
      <c r="C925" s="5"/>
      <c r="D925" s="5"/>
      <c r="E925" s="5"/>
      <c r="F925" s="5"/>
      <c r="G925" s="4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5.75" customHeight="1" x14ac:dyDescent="0.2">
      <c r="A926" s="5"/>
      <c r="B926" s="5"/>
      <c r="C926" s="5"/>
      <c r="D926" s="5"/>
      <c r="E926" s="5"/>
      <c r="F926" s="5"/>
      <c r="G926" s="4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5.75" customHeight="1" x14ac:dyDescent="0.2">
      <c r="A927" s="5"/>
      <c r="B927" s="5"/>
      <c r="C927" s="5"/>
      <c r="D927" s="5"/>
      <c r="E927" s="5"/>
      <c r="F927" s="5"/>
      <c r="G927" s="4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5.75" customHeight="1" x14ac:dyDescent="0.2">
      <c r="A928" s="5"/>
      <c r="B928" s="5"/>
      <c r="C928" s="5"/>
      <c r="D928" s="5"/>
      <c r="E928" s="5"/>
      <c r="F928" s="5"/>
      <c r="G928" s="4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5.75" customHeight="1" x14ac:dyDescent="0.2">
      <c r="A929" s="5"/>
      <c r="B929" s="5"/>
      <c r="C929" s="5"/>
      <c r="D929" s="5"/>
      <c r="E929" s="5"/>
      <c r="F929" s="5"/>
      <c r="G929" s="4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5.75" customHeight="1" x14ac:dyDescent="0.2">
      <c r="A930" s="5"/>
      <c r="B930" s="5"/>
      <c r="C930" s="5"/>
      <c r="D930" s="5"/>
      <c r="E930" s="5"/>
      <c r="F930" s="5"/>
      <c r="G930" s="4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5.75" customHeight="1" x14ac:dyDescent="0.2">
      <c r="A931" s="5"/>
      <c r="B931" s="5"/>
      <c r="C931" s="5"/>
      <c r="D931" s="5"/>
      <c r="E931" s="5"/>
      <c r="F931" s="5"/>
      <c r="G931" s="4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5.75" customHeight="1" x14ac:dyDescent="0.2">
      <c r="A932" s="5"/>
      <c r="B932" s="5"/>
      <c r="C932" s="5"/>
      <c r="D932" s="5"/>
      <c r="E932" s="5"/>
      <c r="F932" s="5"/>
      <c r="G932" s="4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5.75" customHeight="1" x14ac:dyDescent="0.2">
      <c r="A933" s="5"/>
      <c r="B933" s="5"/>
      <c r="C933" s="5"/>
      <c r="D933" s="5"/>
      <c r="E933" s="5"/>
      <c r="F933" s="5"/>
      <c r="G933" s="4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5.75" customHeight="1" x14ac:dyDescent="0.2">
      <c r="A934" s="5"/>
      <c r="B934" s="5"/>
      <c r="C934" s="5"/>
      <c r="D934" s="5"/>
      <c r="E934" s="5"/>
      <c r="F934" s="5"/>
      <c r="G934" s="4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5.75" customHeight="1" x14ac:dyDescent="0.2">
      <c r="A935" s="5"/>
      <c r="B935" s="5"/>
      <c r="C935" s="5"/>
      <c r="D935" s="5"/>
      <c r="E935" s="5"/>
      <c r="F935" s="5"/>
      <c r="G935" s="4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5.75" customHeight="1" x14ac:dyDescent="0.2">
      <c r="A936" s="5"/>
      <c r="B936" s="5"/>
      <c r="C936" s="5"/>
      <c r="D936" s="5"/>
      <c r="E936" s="5"/>
      <c r="F936" s="5"/>
      <c r="G936" s="4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5.75" customHeight="1" x14ac:dyDescent="0.2">
      <c r="A937" s="5"/>
      <c r="B937" s="5"/>
      <c r="C937" s="5"/>
      <c r="D937" s="5"/>
      <c r="E937" s="5"/>
      <c r="F937" s="5"/>
      <c r="G937" s="4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5.75" customHeight="1" x14ac:dyDescent="0.2">
      <c r="A938" s="5"/>
      <c r="B938" s="5"/>
      <c r="C938" s="5"/>
      <c r="D938" s="5"/>
      <c r="E938" s="5"/>
      <c r="F938" s="5"/>
      <c r="G938" s="4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5.75" customHeight="1" x14ac:dyDescent="0.2">
      <c r="A939" s="5"/>
      <c r="B939" s="5"/>
      <c r="C939" s="5"/>
      <c r="D939" s="5"/>
      <c r="E939" s="5"/>
      <c r="F939" s="5"/>
      <c r="G939" s="4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5.75" customHeight="1" x14ac:dyDescent="0.2">
      <c r="A940" s="5"/>
      <c r="B940" s="5"/>
      <c r="C940" s="5"/>
      <c r="D940" s="5"/>
      <c r="E940" s="5"/>
      <c r="F940" s="5"/>
      <c r="G940" s="4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5.75" customHeight="1" x14ac:dyDescent="0.2">
      <c r="A941" s="5"/>
      <c r="B941" s="5"/>
      <c r="C941" s="5"/>
      <c r="D941" s="5"/>
      <c r="E941" s="5"/>
      <c r="F941" s="5"/>
      <c r="G941" s="4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5.75" customHeight="1" x14ac:dyDescent="0.2">
      <c r="A942" s="5"/>
      <c r="B942" s="5"/>
      <c r="C942" s="5"/>
      <c r="D942" s="5"/>
      <c r="E942" s="5"/>
      <c r="F942" s="5"/>
      <c r="G942" s="4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5.75" customHeight="1" x14ac:dyDescent="0.2">
      <c r="A943" s="5"/>
      <c r="B943" s="5"/>
      <c r="C943" s="5"/>
      <c r="D943" s="5"/>
      <c r="E943" s="5"/>
      <c r="F943" s="5"/>
      <c r="G943" s="4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5.75" customHeight="1" x14ac:dyDescent="0.2">
      <c r="A944" s="5"/>
      <c r="B944" s="5"/>
      <c r="C944" s="5"/>
      <c r="D944" s="5"/>
      <c r="E944" s="5"/>
      <c r="F944" s="5"/>
      <c r="G944" s="4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5.75" customHeight="1" x14ac:dyDescent="0.2">
      <c r="A945" s="5"/>
      <c r="B945" s="5"/>
      <c r="C945" s="5"/>
      <c r="D945" s="5"/>
      <c r="E945" s="5"/>
      <c r="F945" s="5"/>
      <c r="G945" s="4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5.75" customHeight="1" x14ac:dyDescent="0.2">
      <c r="A946" s="5"/>
      <c r="B946" s="5"/>
      <c r="C946" s="5"/>
      <c r="D946" s="5"/>
      <c r="E946" s="5"/>
      <c r="F946" s="5"/>
      <c r="G946" s="4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5.75" customHeight="1" x14ac:dyDescent="0.2">
      <c r="A947" s="5"/>
      <c r="B947" s="5"/>
      <c r="C947" s="5"/>
      <c r="D947" s="5"/>
      <c r="E947" s="5"/>
      <c r="F947" s="5"/>
      <c r="G947" s="4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5" customHeight="1" x14ac:dyDescent="0.2">
      <c r="B948" s="5"/>
      <c r="C948" s="5"/>
      <c r="D948" s="5"/>
      <c r="E948" s="5"/>
      <c r="I948" s="5"/>
      <c r="J948" s="5"/>
      <c r="K948" s="5"/>
      <c r="L948" s="5"/>
      <c r="P948" s="5"/>
      <c r="Q948" s="5"/>
      <c r="R948" s="5"/>
      <c r="S948" s="5"/>
    </row>
  </sheetData>
  <mergeCells count="11">
    <mergeCell ref="P7:Q7"/>
    <mergeCell ref="P14:Q14"/>
    <mergeCell ref="P41:R41"/>
    <mergeCell ref="P50:S50"/>
    <mergeCell ref="I50:L50"/>
    <mergeCell ref="B50:E50"/>
    <mergeCell ref="I7:J7"/>
    <mergeCell ref="B7:C7"/>
    <mergeCell ref="I14:J14"/>
    <mergeCell ref="B41:D41"/>
    <mergeCell ref="I41:K41"/>
  </mergeCells>
  <phoneticPr fontId="9" type="noConversion"/>
  <conditionalFormatting sqref="B26">
    <cfRule type="containsBlanks" dxfId="324" priority="21">
      <formula>LEN(TRIM(B26))=0</formula>
    </cfRule>
  </conditionalFormatting>
  <conditionalFormatting sqref="I26">
    <cfRule type="containsBlanks" dxfId="323" priority="16">
      <formula>LEN(TRIM(I26))=0</formula>
    </cfRule>
  </conditionalFormatting>
  <conditionalFormatting sqref="B46">
    <cfRule type="containsBlanks" dxfId="322" priority="15">
      <formula>LEN(TRIM(B46))=0</formula>
    </cfRule>
  </conditionalFormatting>
  <conditionalFormatting sqref="I46">
    <cfRule type="containsBlanks" dxfId="321" priority="14">
      <formula>LEN(TRIM(I46))=0</formula>
    </cfRule>
  </conditionalFormatting>
  <conditionalFormatting sqref="B29">
    <cfRule type="containsBlanks" dxfId="320" priority="13">
      <formula>LEN(TRIM(B29))=0</formula>
    </cfRule>
  </conditionalFormatting>
  <conditionalFormatting sqref="I29">
    <cfRule type="containsBlanks" dxfId="319" priority="11">
      <formula>LEN(TRIM(I29))=0</formula>
    </cfRule>
  </conditionalFormatting>
  <conditionalFormatting sqref="B28">
    <cfRule type="containsBlanks" dxfId="318" priority="10">
      <formula>LEN(TRIM(B28))=0</formula>
    </cfRule>
  </conditionalFormatting>
  <conditionalFormatting sqref="I28">
    <cfRule type="containsBlanks" dxfId="317" priority="9">
      <formula>LEN(TRIM(I28))=0</formula>
    </cfRule>
  </conditionalFormatting>
  <conditionalFormatting sqref="B27">
    <cfRule type="containsBlanks" dxfId="316" priority="8">
      <formula>LEN(TRIM(B27))=0</formula>
    </cfRule>
  </conditionalFormatting>
  <conditionalFormatting sqref="I27">
    <cfRule type="containsBlanks" dxfId="315" priority="6">
      <formula>LEN(TRIM(I27))=0</formula>
    </cfRule>
  </conditionalFormatting>
  <conditionalFormatting sqref="P26">
    <cfRule type="containsBlanks" dxfId="314" priority="5">
      <formula>LEN(TRIM(P26))=0</formula>
    </cfRule>
  </conditionalFormatting>
  <conditionalFormatting sqref="P46">
    <cfRule type="containsBlanks" dxfId="313" priority="4">
      <formula>LEN(TRIM(P46))=0</formula>
    </cfRule>
  </conditionalFormatting>
  <conditionalFormatting sqref="P29">
    <cfRule type="containsBlanks" dxfId="312" priority="3">
      <formula>LEN(TRIM(P29))=0</formula>
    </cfRule>
  </conditionalFormatting>
  <conditionalFormatting sqref="P28">
    <cfRule type="containsBlanks" dxfId="311" priority="2">
      <formula>LEN(TRIM(P28))=0</formula>
    </cfRule>
  </conditionalFormatting>
  <conditionalFormatting sqref="P27">
    <cfRule type="containsBlanks" dxfId="310" priority="1">
      <formula>LEN(TRIM(P27))=0</formula>
    </cfRule>
  </conditionalFormatting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1CA39B-C9F2-4725-86ED-D2A8B8E9FFFC}">
          <x14:formula1>
            <xm:f>'Input keuzevariabelen'!$D$11:$D$12</xm:f>
          </x14:formula1>
          <xm:sqref>J11 C11 Q11</xm:sqref>
        </x14:dataValidation>
        <x14:dataValidation type="list" allowBlank="1" showErrorMessage="1" xr:uid="{00000000-0002-0000-0000-000001000000}">
          <x14:formula1>
            <xm:f>'Input keuzevariabelen'!$C$11:$C$17</xm:f>
          </x14:formula1>
          <xm:sqref>C10 J10 Q10</xm:sqref>
        </x14:dataValidation>
        <x14:dataValidation type="list" allowBlank="1" showInputMessage="1" showErrorMessage="1" xr:uid="{53AFADC6-1194-4C41-8081-97F7C411E2AD}">
          <x14:formula1>
            <xm:f>'Input keuzevariabelen'!$B$11:$B$17</xm:f>
          </x14:formula1>
          <xm:sqref>J9</xm:sqref>
        </x14:dataValidation>
        <x14:dataValidation type="list" allowBlank="1" showInputMessage="1" showErrorMessage="1" xr:uid="{2574254D-5614-F54F-B6EE-CF75AA8BC6BA}">
          <x14:formula1>
            <xm:f>'Input keuzevariabelen'!$B$17</xm:f>
          </x14:formula1>
          <xm:sqref>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3A7A-83E2-D64F-9B87-0D1DA9F069CD}">
  <dimension ref="A1:AD974"/>
  <sheetViews>
    <sheetView showGridLines="0" zoomScale="130" zoomScaleNormal="130" workbookViewId="0">
      <selection activeCell="T12" sqref="T12"/>
    </sheetView>
  </sheetViews>
  <sheetFormatPr baseColWidth="10" defaultColWidth="12.6640625" defaultRowHeight="15" customHeight="1" x14ac:dyDescent="0.15"/>
  <cols>
    <col min="1" max="1" width="3" style="230" customWidth="1"/>
    <col min="2" max="2" width="48.1640625" style="230" customWidth="1"/>
    <col min="3" max="3" width="36.1640625" style="230" customWidth="1"/>
    <col min="4" max="4" width="11.83203125" style="230" customWidth="1"/>
    <col min="5" max="5" width="20.33203125" style="230" customWidth="1"/>
    <col min="6" max="6" width="15.1640625" style="230" customWidth="1"/>
    <col min="7" max="7" width="8.5" style="230" customWidth="1"/>
    <col min="8" max="8" width="3.1640625" style="230" customWidth="1"/>
    <col min="9" max="9" width="50.5" style="230" customWidth="1"/>
    <col min="10" max="10" width="32.6640625" style="230" customWidth="1"/>
    <col min="11" max="11" width="14.33203125" style="230" customWidth="1"/>
    <col min="12" max="12" width="20.6640625" style="230" customWidth="1"/>
    <col min="13" max="13" width="14.33203125" style="230" customWidth="1"/>
    <col min="14" max="14" width="10" style="230" customWidth="1"/>
    <col min="15" max="15" width="4.6640625" style="230" customWidth="1"/>
    <col min="16" max="16" width="2.6640625" style="230" customWidth="1"/>
    <col min="17" max="19" width="3" style="230" customWidth="1"/>
    <col min="20" max="20" width="38.83203125" style="230" customWidth="1"/>
    <col min="21" max="21" width="34.6640625" style="230" customWidth="1"/>
    <col min="22" max="22" width="11.5" style="230" customWidth="1"/>
    <col min="23" max="23" width="22.5" style="230" customWidth="1"/>
    <col min="24" max="24" width="16.1640625" style="230" customWidth="1"/>
    <col min="25" max="25" width="20.1640625" style="230" customWidth="1"/>
    <col min="26" max="26" width="21" style="230" customWidth="1"/>
    <col min="27" max="27" width="31.5" style="230" customWidth="1"/>
    <col min="28" max="28" width="8.33203125" style="230" customWidth="1"/>
    <col min="29" max="29" width="10.83203125" style="230" customWidth="1"/>
    <col min="30" max="30" width="8" style="230" customWidth="1"/>
    <col min="31" max="16384" width="12.6640625" style="230"/>
  </cols>
  <sheetData>
    <row r="1" spans="1:30" ht="49.5" customHeight="1" x14ac:dyDescent="0.2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</row>
    <row r="2" spans="1:30" ht="49.5" customHeight="1" x14ac:dyDescent="0.2">
      <c r="A2" s="229"/>
      <c r="B2" s="229"/>
      <c r="C2" s="231" t="s">
        <v>180</v>
      </c>
      <c r="D2" s="231"/>
      <c r="E2" s="231"/>
      <c r="F2" s="231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2"/>
      <c r="U2" s="232"/>
      <c r="V2" s="232"/>
      <c r="W2" s="229"/>
      <c r="X2" s="229"/>
      <c r="Y2" s="229"/>
      <c r="Z2" s="229"/>
      <c r="AA2" s="229"/>
      <c r="AB2" s="229"/>
      <c r="AC2" s="229"/>
      <c r="AD2" s="229"/>
    </row>
    <row r="3" spans="1:30" ht="15.75" customHeight="1" thickBot="1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</row>
    <row r="4" spans="1:30" ht="24" customHeight="1" thickTop="1" thickBot="1" x14ac:dyDescent="0.25">
      <c r="A4" s="229"/>
      <c r="B4" s="352" t="s">
        <v>181</v>
      </c>
      <c r="C4" s="353"/>
      <c r="D4" s="353"/>
      <c r="E4" s="233"/>
      <c r="F4" s="233"/>
      <c r="G4" s="229"/>
      <c r="H4" s="229"/>
      <c r="I4" s="354" t="s">
        <v>182</v>
      </c>
      <c r="J4" s="355"/>
      <c r="K4" s="229"/>
      <c r="L4" s="229"/>
      <c r="M4" s="229"/>
      <c r="N4" s="229"/>
      <c r="O4" s="229"/>
      <c r="P4" s="229"/>
      <c r="Q4" s="229"/>
      <c r="R4" s="229"/>
      <c r="S4" s="229"/>
      <c r="T4" s="354" t="s">
        <v>182</v>
      </c>
      <c r="U4" s="355"/>
      <c r="V4" s="229"/>
      <c r="W4" s="229"/>
      <c r="X4" s="229"/>
      <c r="Y4" s="229"/>
      <c r="Z4" s="229"/>
      <c r="AA4" s="229"/>
      <c r="AB4" s="229"/>
      <c r="AC4" s="229"/>
      <c r="AD4" s="229"/>
    </row>
    <row r="5" spans="1:30" ht="15.75" customHeight="1" thickTop="1" thickBot="1" x14ac:dyDescent="0.25">
      <c r="A5" s="229"/>
      <c r="B5" s="234" t="s">
        <v>36</v>
      </c>
      <c r="C5" s="356" t="s">
        <v>37</v>
      </c>
      <c r="D5" s="357"/>
      <c r="E5" s="235"/>
      <c r="F5" s="235"/>
      <c r="G5" s="229"/>
      <c r="H5" s="229"/>
      <c r="I5" s="236" t="s">
        <v>36</v>
      </c>
      <c r="J5" s="237" t="s">
        <v>37</v>
      </c>
      <c r="K5" s="229"/>
      <c r="L5" s="229"/>
      <c r="M5" s="229"/>
      <c r="N5" s="229"/>
      <c r="O5" s="229"/>
      <c r="P5" s="229"/>
      <c r="Q5" s="229"/>
      <c r="R5" s="229"/>
      <c r="S5" s="229"/>
      <c r="T5" s="236" t="s">
        <v>36</v>
      </c>
      <c r="U5" s="237" t="s">
        <v>37</v>
      </c>
      <c r="V5" s="229"/>
      <c r="W5" s="229"/>
      <c r="X5" s="229"/>
      <c r="Y5" s="229"/>
      <c r="Z5" s="229"/>
      <c r="AA5" s="229"/>
      <c r="AB5" s="229"/>
      <c r="AC5" s="229"/>
      <c r="AD5" s="229"/>
    </row>
    <row r="6" spans="1:30" ht="15" customHeight="1" thickTop="1" thickBot="1" x14ac:dyDescent="0.25">
      <c r="A6" s="229"/>
      <c r="B6" s="238" t="s">
        <v>3</v>
      </c>
      <c r="C6" s="358">
        <v>2021</v>
      </c>
      <c r="D6" s="359"/>
      <c r="E6" s="239"/>
      <c r="F6" s="229"/>
      <c r="G6" s="229"/>
      <c r="H6" s="229"/>
      <c r="I6" s="240" t="s">
        <v>0</v>
      </c>
      <c r="J6" s="241" t="s">
        <v>125</v>
      </c>
      <c r="K6" s="239" t="str">
        <f xml:space="preserve"> "Figuur E2. Energieverbruik " &amp; J6</f>
        <v>Figuur E2. Energieverbruik RWZI</v>
      </c>
      <c r="L6" s="229"/>
      <c r="M6" s="229"/>
      <c r="N6" s="229"/>
      <c r="O6" s="229"/>
      <c r="P6" s="229"/>
      <c r="Q6" s="229"/>
      <c r="R6" s="229"/>
      <c r="S6" s="229"/>
      <c r="T6" s="240" t="s">
        <v>0</v>
      </c>
      <c r="U6" s="241" t="s">
        <v>127</v>
      </c>
      <c r="V6" s="239" t="str">
        <f xml:space="preserve"> "Figuur E2. Energieverbruik " &amp; U6</f>
        <v>Figuur E2. Energieverbruik Delfland</v>
      </c>
      <c r="W6" s="229"/>
      <c r="X6" s="229"/>
      <c r="Y6" s="229"/>
      <c r="Z6" s="229"/>
      <c r="AA6" s="229"/>
      <c r="AB6" s="229"/>
      <c r="AC6" s="229"/>
      <c r="AD6" s="229"/>
    </row>
    <row r="7" spans="1:30" ht="15" customHeight="1" thickBot="1" x14ac:dyDescent="0.25">
      <c r="A7" s="229"/>
      <c r="B7" s="242" t="s">
        <v>17</v>
      </c>
      <c r="C7" s="360" t="s">
        <v>16</v>
      </c>
      <c r="D7" s="361"/>
      <c r="E7" s="229"/>
      <c r="F7" s="229"/>
      <c r="G7" s="229"/>
      <c r="H7" s="229"/>
      <c r="I7" s="238" t="s">
        <v>3</v>
      </c>
      <c r="J7" s="243">
        <v>2019</v>
      </c>
      <c r="K7" s="229"/>
      <c r="L7" s="229"/>
      <c r="M7" s="229"/>
      <c r="N7" s="229"/>
      <c r="O7" s="229"/>
      <c r="P7" s="229"/>
      <c r="Q7" s="229"/>
      <c r="R7" s="229"/>
      <c r="S7" s="229"/>
      <c r="T7" s="238" t="s">
        <v>3</v>
      </c>
      <c r="U7" s="243">
        <v>2021</v>
      </c>
      <c r="V7" s="229"/>
      <c r="W7" s="229"/>
      <c r="X7" s="229"/>
      <c r="Y7" s="229"/>
      <c r="Z7" s="229"/>
      <c r="AA7" s="229"/>
      <c r="AB7" s="229"/>
      <c r="AC7" s="229"/>
      <c r="AD7" s="229"/>
    </row>
    <row r="8" spans="1:30" ht="15" customHeight="1" thickTop="1" thickBot="1" x14ac:dyDescent="0.25">
      <c r="A8" s="229"/>
      <c r="B8" s="244"/>
      <c r="C8" s="245"/>
      <c r="D8" s="246"/>
      <c r="E8" s="229"/>
      <c r="F8" s="229"/>
      <c r="G8" s="229"/>
      <c r="H8" s="229"/>
      <c r="I8" s="242" t="s">
        <v>17</v>
      </c>
      <c r="J8" s="247" t="s">
        <v>16</v>
      </c>
      <c r="K8" s="229"/>
      <c r="L8" s="229"/>
      <c r="M8" s="229"/>
      <c r="N8" s="229"/>
      <c r="O8" s="229"/>
      <c r="P8" s="229"/>
      <c r="Q8" s="229"/>
      <c r="R8" s="229"/>
      <c r="S8" s="229"/>
      <c r="T8" s="242" t="s">
        <v>17</v>
      </c>
      <c r="U8" s="247" t="s">
        <v>16</v>
      </c>
      <c r="V8" s="229"/>
      <c r="W8" s="229"/>
      <c r="X8" s="229"/>
      <c r="Y8" s="229"/>
      <c r="Z8" s="229"/>
      <c r="AA8" s="229"/>
      <c r="AB8" s="229"/>
      <c r="AC8" s="229"/>
      <c r="AD8" s="229"/>
    </row>
    <row r="9" spans="1:30" ht="15.75" customHeight="1" thickTop="1" thickBot="1" x14ac:dyDescent="0.25">
      <c r="A9" s="229"/>
      <c r="B9" s="229"/>
      <c r="C9" s="229"/>
      <c r="D9" s="248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</row>
    <row r="10" spans="1:30" ht="33.75" customHeight="1" thickTop="1" thickBot="1" x14ac:dyDescent="0.25">
      <c r="A10" s="229"/>
      <c r="B10" s="362" t="str">
        <f xml:space="preserve"> "TABEL E1. JAARLIJKSE ENERGIEVERBRUIK GEHELE ORGANISATIE (GJ)"</f>
        <v>TABEL E1. JAARLIJKSE ENERGIEVERBRUIK GEHELE ORGANISATIE (GJ)</v>
      </c>
      <c r="C10" s="363"/>
      <c r="D10" s="363"/>
      <c r="E10" s="363"/>
      <c r="F10" s="363"/>
      <c r="G10" s="249"/>
      <c r="H10" s="229"/>
      <c r="I10" s="364" t="str">
        <f xml:space="preserve"> "TABEL E2. VOORTGANG JAARLIJKSE CO2-EMISSIES, " &amp; UPPER(J6)</f>
        <v>TABEL E2. VOORTGANG JAARLIJKSE CO2-EMISSIES, RWZI</v>
      </c>
      <c r="J10" s="365"/>
      <c r="K10" s="365"/>
      <c r="L10" s="365"/>
      <c r="M10" s="365"/>
      <c r="N10" s="250"/>
      <c r="O10" s="251"/>
      <c r="P10" s="249"/>
      <c r="Q10" s="229"/>
      <c r="R10" s="369"/>
      <c r="S10" s="351"/>
      <c r="T10" s="364" t="str">
        <f xml:space="preserve"> "TABEL E2. VOORTGANG JAARLIJKSE CO2-EMISSIES, " &amp; UPPER(U6)</f>
        <v>TABEL E2. VOORTGANG JAARLIJKSE CO2-EMISSIES, DELFLAND</v>
      </c>
      <c r="U10" s="365"/>
      <c r="V10" s="365"/>
      <c r="W10" s="365"/>
      <c r="X10" s="365"/>
      <c r="Y10" s="250"/>
      <c r="Z10" s="229"/>
      <c r="AA10" s="229"/>
      <c r="AB10" s="229"/>
      <c r="AC10" s="229"/>
      <c r="AD10" s="229"/>
    </row>
    <row r="11" spans="1:30" ht="18" customHeight="1" thickTop="1" thickBot="1" x14ac:dyDescent="0.25">
      <c r="A11" s="229"/>
      <c r="B11" s="253"/>
      <c r="C11" s="254"/>
      <c r="D11" s="254"/>
      <c r="E11" s="254"/>
      <c r="F11" s="254"/>
      <c r="G11" s="229"/>
      <c r="H11" s="229"/>
      <c r="I11" s="253"/>
      <c r="J11" s="254"/>
      <c r="K11" s="254"/>
      <c r="L11" s="254"/>
      <c r="M11" s="254"/>
      <c r="N11" s="250"/>
      <c r="O11" s="251"/>
      <c r="P11" s="229"/>
      <c r="Q11" s="229"/>
      <c r="R11" s="252"/>
      <c r="S11" s="252"/>
      <c r="T11" s="253"/>
      <c r="U11" s="254"/>
      <c r="V11" s="254"/>
      <c r="W11" s="254"/>
      <c r="X11" s="254"/>
      <c r="Y11" s="250"/>
      <c r="Z11" s="229"/>
      <c r="AA11" s="229"/>
      <c r="AB11" s="229"/>
      <c r="AC11" s="229"/>
      <c r="AD11" s="229"/>
    </row>
    <row r="12" spans="1:30" ht="30" customHeight="1" thickTop="1" thickBot="1" x14ac:dyDescent="0.25">
      <c r="A12" s="229"/>
      <c r="B12" s="255" t="s">
        <v>183</v>
      </c>
      <c r="C12" s="256" t="s">
        <v>39</v>
      </c>
      <c r="D12" s="256" t="s">
        <v>40</v>
      </c>
      <c r="E12" s="257" t="s">
        <v>184</v>
      </c>
      <c r="F12" s="258" t="s">
        <v>185</v>
      </c>
      <c r="G12" s="229"/>
      <c r="H12" s="229"/>
      <c r="I12" s="255" t="s">
        <v>183</v>
      </c>
      <c r="J12" s="256" t="s">
        <v>39</v>
      </c>
      <c r="K12" s="256" t="s">
        <v>40</v>
      </c>
      <c r="L12" s="257" t="s">
        <v>184</v>
      </c>
      <c r="M12" s="258" t="s">
        <v>185</v>
      </c>
      <c r="N12" s="251"/>
      <c r="O12" s="251"/>
      <c r="P12" s="229"/>
      <c r="Q12" s="229"/>
      <c r="R12" s="260"/>
      <c r="S12" s="260"/>
      <c r="T12" s="255" t="s">
        <v>183</v>
      </c>
      <c r="U12" s="256" t="s">
        <v>39</v>
      </c>
      <c r="V12" s="256" t="s">
        <v>40</v>
      </c>
      <c r="W12" s="257" t="s">
        <v>184</v>
      </c>
      <c r="X12" s="258" t="s">
        <v>185</v>
      </c>
      <c r="Y12" s="251"/>
      <c r="Z12" s="229"/>
      <c r="AA12" s="229"/>
      <c r="AB12" s="229"/>
      <c r="AC12" s="229"/>
      <c r="AD12" s="229"/>
    </row>
    <row r="13" spans="1:30" ht="15.75" customHeight="1" thickTop="1" thickBot="1" x14ac:dyDescent="0.25">
      <c r="A13" s="229"/>
      <c r="B13" s="261" t="s">
        <v>5</v>
      </c>
      <c r="C13" s="66">
        <f>SUMIFS(Data!$H$8:$H$300,Data!$G$8:$G$300,B13,Data!$D$8:$D$300,$C$6,Data!$E$8:$E$300,$C$7)</f>
        <v>2099691.96</v>
      </c>
      <c r="D13" s="262" t="s">
        <v>34</v>
      </c>
      <c r="E13" s="263">
        <v>3.1649999999999998E-2</v>
      </c>
      <c r="F13" s="264">
        <f t="shared" ref="F13:F20" si="0">E13*C13</f>
        <v>66455.250533999992</v>
      </c>
      <c r="G13" s="265">
        <f t="shared" ref="G13:G21" si="1">F13/$F$21</f>
        <v>0.20197825433301766</v>
      </c>
      <c r="H13" s="229"/>
      <c r="I13" s="261" t="s">
        <v>5</v>
      </c>
      <c r="J13" s="66">
        <f>SUMIFS(Data!$H:$H,Data!$G:$G,I13,Data!$D:$D,$J$7,Data!$C:$C,$J$6,Data!$E:$E,$J$8)</f>
        <v>762494</v>
      </c>
      <c r="K13" s="262" t="s">
        <v>34</v>
      </c>
      <c r="L13" s="263">
        <v>3.1649999999999998E-2</v>
      </c>
      <c r="M13" s="264">
        <f>L13*J13</f>
        <v>24132.935099999999</v>
      </c>
      <c r="N13" s="265">
        <f t="shared" ref="N13:N21" si="2">M13/$M$21</f>
        <v>0.12857356220980715</v>
      </c>
      <c r="O13" s="251"/>
      <c r="P13" s="229"/>
      <c r="Q13" s="229"/>
      <c r="R13" s="267"/>
      <c r="S13" s="268"/>
      <c r="T13" s="261" t="s">
        <v>5</v>
      </c>
      <c r="U13" s="66">
        <f>SUMIFS(Data!$H:$H,Data!$G:$G,T13,Data!$D:$D,$U$7,Data!$B:$B,$U$6,Data!$E:$E,$U$8)</f>
        <v>2040060</v>
      </c>
      <c r="V13" s="262" t="s">
        <v>34</v>
      </c>
      <c r="W13" s="263">
        <v>3.1649999999999998E-2</v>
      </c>
      <c r="X13" s="264">
        <f>W13*U13</f>
        <v>64567.898999999998</v>
      </c>
      <c r="Y13" s="265">
        <f t="shared" ref="Y13:Y20" si="3">X13/$X$21</f>
        <v>0.20462729408411859</v>
      </c>
      <c r="Z13" s="229"/>
      <c r="AA13" s="229"/>
      <c r="AB13" s="229"/>
      <c r="AC13" s="229"/>
      <c r="AD13" s="270"/>
    </row>
    <row r="14" spans="1:30" ht="15.75" customHeight="1" thickTop="1" thickBot="1" x14ac:dyDescent="0.25">
      <c r="A14" s="229"/>
      <c r="B14" s="261" t="s">
        <v>81</v>
      </c>
      <c r="C14" s="66">
        <f>SUMIFS(Data!$H$8:$H$300,Data!$G$8:$G$300,B14,Data!$D$8:$D$300,$C$6,Data!$E$8:$E$300,$C$7)</f>
        <v>40841.764000000003</v>
      </c>
      <c r="D14" s="271" t="s">
        <v>6</v>
      </c>
      <c r="E14" s="263">
        <v>3.5448E-2</v>
      </c>
      <c r="F14" s="264">
        <f t="shared" si="0"/>
        <v>1447.758850272</v>
      </c>
      <c r="G14" s="265">
        <f t="shared" si="1"/>
        <v>4.4001911500357498E-3</v>
      </c>
      <c r="H14" s="229"/>
      <c r="I14" s="261" t="s">
        <v>81</v>
      </c>
      <c r="J14" s="66">
        <f>SUMIFS(Data!$H:$H,Data!$G:$G,I14,Data!$D:$D,$J$7,Data!$C:$C,$J$6,Data!$E:$E,$J$8)</f>
        <v>0</v>
      </c>
      <c r="K14" s="271" t="s">
        <v>6</v>
      </c>
      <c r="L14" s="263">
        <v>3.5448E-2</v>
      </c>
      <c r="M14" s="264">
        <f t="shared" ref="M14:M20" si="4">L14*J14</f>
        <v>0</v>
      </c>
      <c r="N14" s="265">
        <f t="shared" si="2"/>
        <v>0</v>
      </c>
      <c r="O14" s="251"/>
      <c r="P14" s="229"/>
      <c r="Q14" s="229"/>
      <c r="R14" s="267"/>
      <c r="S14" s="268"/>
      <c r="T14" s="261" t="s">
        <v>81</v>
      </c>
      <c r="U14" s="66">
        <f>SUMIFS(Data!$H:$H,Data!$G:$G,T14,Data!$D:$D,$U$7,Data!$B:$B,$U$6,Data!$E:$E,$U$8)</f>
        <v>27952</v>
      </c>
      <c r="V14" s="271" t="s">
        <v>6</v>
      </c>
      <c r="W14" s="263">
        <v>3.5448E-2</v>
      </c>
      <c r="X14" s="264">
        <f t="shared" ref="X14:X20" si="5">W14*U14</f>
        <v>990.84249599999998</v>
      </c>
      <c r="Y14" s="265">
        <f t="shared" si="3"/>
        <v>3.1401582204190056E-3</v>
      </c>
      <c r="Z14" s="229"/>
      <c r="AA14" s="229"/>
      <c r="AB14" s="229"/>
      <c r="AC14" s="229"/>
      <c r="AD14" s="270"/>
    </row>
    <row r="15" spans="1:30" ht="15.75" customHeight="1" thickTop="1" thickBot="1" x14ac:dyDescent="0.25">
      <c r="A15" s="229"/>
      <c r="B15" s="261" t="s">
        <v>82</v>
      </c>
      <c r="C15" s="66">
        <f>SUMIFS(Data!$H$8:$H$300,Data!$G$8:$G$300,B15,Data!$D$8:$D$300,$C$6,Data!$E$8:$E$300,$C$7)</f>
        <v>29302.953000000001</v>
      </c>
      <c r="D15" s="271" t="s">
        <v>6</v>
      </c>
      <c r="E15" s="263">
        <v>3.2916000000000001E-2</v>
      </c>
      <c r="F15" s="264">
        <f t="shared" si="0"/>
        <v>964.53600094800004</v>
      </c>
      <c r="G15" s="265">
        <f t="shared" si="1"/>
        <v>2.9315260441784815E-3</v>
      </c>
      <c r="H15" s="229"/>
      <c r="I15" s="261" t="s">
        <v>82</v>
      </c>
      <c r="J15" s="66">
        <f>SUMIFS(Data!$H:$H,Data!$G:$G,I15,Data!$D:$D,$J$7,Data!$C:$C,$J$6,Data!$E:$E,$J$8)</f>
        <v>0</v>
      </c>
      <c r="K15" s="271" t="s">
        <v>6</v>
      </c>
      <c r="L15" s="263">
        <v>3.2916000000000001E-2</v>
      </c>
      <c r="M15" s="264">
        <f t="shared" si="4"/>
        <v>0</v>
      </c>
      <c r="N15" s="265">
        <f t="shared" si="2"/>
        <v>0</v>
      </c>
      <c r="O15" s="251"/>
      <c r="P15" s="229"/>
      <c r="Q15" s="229"/>
      <c r="R15" s="267"/>
      <c r="S15" s="268"/>
      <c r="T15" s="261" t="s">
        <v>82</v>
      </c>
      <c r="U15" s="66">
        <f>SUMIFS(Data!$H:$H,Data!$G:$G,T15,Data!$D:$D,$U$7,Data!$B:$B,$U$6,Data!$E:$E,$U$8)</f>
        <v>29034</v>
      </c>
      <c r="V15" s="271" t="s">
        <v>6</v>
      </c>
      <c r="W15" s="263">
        <v>3.2916000000000001E-2</v>
      </c>
      <c r="X15" s="264">
        <f t="shared" si="5"/>
        <v>955.68314399999997</v>
      </c>
      <c r="Y15" s="265">
        <f t="shared" si="3"/>
        <v>3.0287319052850559E-3</v>
      </c>
      <c r="Z15" s="229"/>
      <c r="AA15" s="229"/>
      <c r="AB15" s="229"/>
      <c r="AC15" s="229"/>
      <c r="AD15" s="270"/>
    </row>
    <row r="16" spans="1:30" ht="18" thickTop="1" thickBot="1" x14ac:dyDescent="0.25">
      <c r="A16" s="272"/>
      <c r="B16" s="261" t="s">
        <v>92</v>
      </c>
      <c r="C16" s="66">
        <f>SUMIFS(Data!$H$8:$H$300,Data!$G$8:$G$300,B16,Data!$D$8:$D$300,$C$6,Data!$E$8:$E$300,$C$7)</f>
        <v>0</v>
      </c>
      <c r="D16" s="271" t="s">
        <v>23</v>
      </c>
      <c r="E16" s="263">
        <v>3.7999999999999999E-2</v>
      </c>
      <c r="F16" s="264">
        <f t="shared" si="0"/>
        <v>0</v>
      </c>
      <c r="G16" s="265">
        <f t="shared" si="1"/>
        <v>0</v>
      </c>
      <c r="H16" s="229"/>
      <c r="I16" s="261" t="s">
        <v>92</v>
      </c>
      <c r="J16" s="66">
        <f>SUMIFS(Data!$H:$H,Data!$G:$G,I16,Data!$D:$D,$J$7,Data!$C:$C,$J$6,Data!$E:$E,$J$8)</f>
        <v>0</v>
      </c>
      <c r="K16" s="271" t="s">
        <v>23</v>
      </c>
      <c r="L16" s="263">
        <v>3.7999999999999999E-2</v>
      </c>
      <c r="M16" s="264">
        <f t="shared" si="4"/>
        <v>0</v>
      </c>
      <c r="N16" s="265">
        <f t="shared" si="2"/>
        <v>0</v>
      </c>
      <c r="O16" s="251"/>
      <c r="P16" s="229"/>
      <c r="Q16" s="272"/>
      <c r="R16" s="267"/>
      <c r="S16" s="268"/>
      <c r="T16" s="261" t="s">
        <v>92</v>
      </c>
      <c r="U16" s="66">
        <f>SUMIFS(Data!$H:$H,Data!$G:$G,T16,Data!$D:$D,$U$7,Data!$B:$B,$U$6,Data!$E:$E,$U$8)</f>
        <v>0</v>
      </c>
      <c r="V16" s="271" t="s">
        <v>23</v>
      </c>
      <c r="W16" s="263">
        <v>3.7999999999999999E-2</v>
      </c>
      <c r="X16" s="264">
        <f t="shared" si="5"/>
        <v>0</v>
      </c>
      <c r="Y16" s="265">
        <f t="shared" si="3"/>
        <v>0</v>
      </c>
      <c r="Z16" s="229"/>
      <c r="AA16" s="229"/>
      <c r="AB16" s="229"/>
      <c r="AC16" s="229"/>
      <c r="AD16" s="270"/>
    </row>
    <row r="17" spans="1:30" ht="15.75" customHeight="1" thickTop="1" thickBot="1" x14ac:dyDescent="0.25">
      <c r="A17" s="229"/>
      <c r="B17" s="273" t="s">
        <v>29</v>
      </c>
      <c r="C17" s="66">
        <f>SUMIFS(Data!$H$8:$H$300,Data!$G$8:$G$300,B17,Data!$D$8:$D$300,$C$6,Data!$E$8:$E$300,$C$7)</f>
        <v>72582.795999999988</v>
      </c>
      <c r="D17" s="271" t="s">
        <v>9</v>
      </c>
      <c r="E17" s="263">
        <v>3.5999999999999999E-3</v>
      </c>
      <c r="F17" s="264">
        <f t="shared" si="0"/>
        <v>261.29806559999997</v>
      </c>
      <c r="G17" s="265">
        <f t="shared" si="1"/>
        <v>7.9416640109543607E-4</v>
      </c>
      <c r="H17" s="229"/>
      <c r="I17" s="273" t="s">
        <v>29</v>
      </c>
      <c r="J17" s="66">
        <f>SUMIFS(Data!$H:$H,Data!$G:$G,I17,Data!$D:$D,$J$7,Data!$C:$C,$J$6,Data!$E:$E,$J$8)</f>
        <v>33741390</v>
      </c>
      <c r="K17" s="271" t="s">
        <v>9</v>
      </c>
      <c r="L17" s="263">
        <v>3.5999999999999999E-3</v>
      </c>
      <c r="M17" s="264">
        <f t="shared" si="4"/>
        <v>121469.004</v>
      </c>
      <c r="N17" s="265">
        <f t="shared" si="2"/>
        <v>0.64715304945884156</v>
      </c>
      <c r="O17" s="251"/>
      <c r="P17" s="229"/>
      <c r="Q17" s="229"/>
      <c r="R17" s="229"/>
      <c r="S17" s="229"/>
      <c r="T17" s="273" t="s">
        <v>29</v>
      </c>
      <c r="U17" s="66">
        <f>SUMIFS(Data!$H:$H,Data!$G:$G,T17,Data!$D:$D,$U$7,Data!$B:$B,$U$6,Data!$E:$E,$U$8)</f>
        <v>0</v>
      </c>
      <c r="V17" s="271" t="s">
        <v>9</v>
      </c>
      <c r="W17" s="263">
        <v>3.5999999999999999E-3</v>
      </c>
      <c r="X17" s="264">
        <f t="shared" si="5"/>
        <v>0</v>
      </c>
      <c r="Y17" s="265">
        <f t="shared" si="3"/>
        <v>0</v>
      </c>
      <c r="Z17" s="229"/>
      <c r="AA17" s="229"/>
      <c r="AB17" s="229"/>
      <c r="AC17" s="229"/>
      <c r="AD17" s="229"/>
    </row>
    <row r="18" spans="1:30" ht="15.75" customHeight="1" thickTop="1" thickBot="1" x14ac:dyDescent="0.25">
      <c r="A18" s="229"/>
      <c r="B18" s="273" t="s">
        <v>28</v>
      </c>
      <c r="C18" s="66">
        <f>SUMIFS(Data!$H$8:$H$300,Data!$G$8:$G$300,B18,Data!$D$8:$D$300,$C$6,Data!$E$8:$E$300,$C$7)</f>
        <v>72191681.011999995</v>
      </c>
      <c r="D18" s="271" t="s">
        <v>9</v>
      </c>
      <c r="E18" s="263">
        <v>3.5999999999999999E-3</v>
      </c>
      <c r="F18" s="264">
        <f t="shared" si="0"/>
        <v>259890.05164319999</v>
      </c>
      <c r="G18" s="265">
        <f t="shared" si="1"/>
        <v>0.78988700708539494</v>
      </c>
      <c r="H18" s="229"/>
      <c r="I18" s="273" t="s">
        <v>28</v>
      </c>
      <c r="J18" s="66">
        <f>SUMIFS(Data!$H:$H,Data!$G:$G,I18,Data!$D:$D,$J$7,Data!$C:$C,$J$6,Data!$E:$E,$J$8)</f>
        <v>11693209</v>
      </c>
      <c r="K18" s="271" t="s">
        <v>9</v>
      </c>
      <c r="L18" s="263">
        <v>3.5999999999999999E-3</v>
      </c>
      <c r="M18" s="264">
        <f t="shared" si="4"/>
        <v>42095.5524</v>
      </c>
      <c r="N18" s="265">
        <f t="shared" si="2"/>
        <v>0.22427338833135124</v>
      </c>
      <c r="O18" s="251"/>
      <c r="P18" s="229"/>
      <c r="Q18" s="229"/>
      <c r="R18" s="229"/>
      <c r="S18" s="229"/>
      <c r="T18" s="273" t="s">
        <v>28</v>
      </c>
      <c r="U18" s="66">
        <f>SUMIFS(Data!$H:$H,Data!$G:$G,T18,Data!$D:$D,$U$7,Data!$B:$B,$U$6,Data!$E:$E,$U$8)</f>
        <v>69173503</v>
      </c>
      <c r="V18" s="271" t="s">
        <v>9</v>
      </c>
      <c r="W18" s="263">
        <v>3.5999999999999999E-3</v>
      </c>
      <c r="X18" s="264">
        <f t="shared" si="5"/>
        <v>249024.61079999999</v>
      </c>
      <c r="Y18" s="265">
        <f t="shared" si="3"/>
        <v>0.78920381579017729</v>
      </c>
      <c r="Z18" s="229"/>
      <c r="AA18" s="229"/>
      <c r="AB18" s="229"/>
      <c r="AC18" s="229"/>
      <c r="AD18" s="229"/>
    </row>
    <row r="19" spans="1:30" ht="15.75" customHeight="1" thickTop="1" thickBot="1" x14ac:dyDescent="0.25">
      <c r="A19" s="229"/>
      <c r="B19" s="273" t="s">
        <v>97</v>
      </c>
      <c r="C19" s="66">
        <f>SUMIFS(Data!$H$8:$H$300,Data!$G$8:$G$300,B19,Data!$D$8:$D$300,$C$6,Data!$E$8:$E$300,$C$7)</f>
        <v>809.30100000000004</v>
      </c>
      <c r="D19" s="271" t="s">
        <v>9</v>
      </c>
      <c r="E19" s="263">
        <v>3.5999999999999999E-3</v>
      </c>
      <c r="F19" s="264">
        <f t="shared" si="0"/>
        <v>2.9134836000000002</v>
      </c>
      <c r="G19" s="265">
        <f t="shared" si="1"/>
        <v>8.8549862776426744E-6</v>
      </c>
      <c r="H19" s="229"/>
      <c r="I19" s="273" t="s">
        <v>97</v>
      </c>
      <c r="J19" s="66">
        <f>SUMIFS(Data!$H:$H,Data!$G:$G,I19,Data!$D:$D,$J$7,Data!$C:$C,$J$6,Data!$E:$E,$J$8)</f>
        <v>0</v>
      </c>
      <c r="K19" s="271" t="s">
        <v>9</v>
      </c>
      <c r="L19" s="263">
        <v>3.5999999999999999E-3</v>
      </c>
      <c r="M19" s="264">
        <f t="shared" si="4"/>
        <v>0</v>
      </c>
      <c r="N19" s="265">
        <f t="shared" si="2"/>
        <v>0</v>
      </c>
      <c r="O19" s="251"/>
      <c r="P19" s="229"/>
      <c r="Q19" s="229"/>
      <c r="R19" s="229"/>
      <c r="S19" s="229"/>
      <c r="T19" s="273" t="s">
        <v>97</v>
      </c>
      <c r="U19" s="66">
        <f>SUMIFS(Data!$H:$H,Data!$G:$G,T19,Data!$D:$D,$U$7,Data!$B:$B,$U$6,Data!$E:$E,$U$8)</f>
        <v>0</v>
      </c>
      <c r="V19" s="271" t="s">
        <v>9</v>
      </c>
      <c r="W19" s="263">
        <v>3.5999999999999999E-3</v>
      </c>
      <c r="X19" s="264">
        <f t="shared" si="5"/>
        <v>0</v>
      </c>
      <c r="Y19" s="265">
        <f t="shared" si="3"/>
        <v>0</v>
      </c>
      <c r="Z19" s="229"/>
      <c r="AA19" s="229"/>
      <c r="AB19" s="229"/>
      <c r="AC19" s="229"/>
      <c r="AD19" s="229"/>
    </row>
    <row r="20" spans="1:30" ht="15.75" customHeight="1" thickTop="1" thickBot="1" x14ac:dyDescent="0.25">
      <c r="A20" s="229"/>
      <c r="B20" s="273" t="s">
        <v>102</v>
      </c>
      <c r="C20" s="66">
        <f>SUMIFS(Data!$H$8:$H$300,Data!$G$8:$G$300,B20,Data!$D$8:$D$300,$C$6,Data!$E$8:$E$300,$C$7)</f>
        <v>0</v>
      </c>
      <c r="D20" s="271" t="s">
        <v>103</v>
      </c>
      <c r="E20" s="263">
        <v>1</v>
      </c>
      <c r="F20" s="264">
        <f t="shared" si="0"/>
        <v>0</v>
      </c>
      <c r="G20" s="265">
        <f t="shared" si="1"/>
        <v>0</v>
      </c>
      <c r="H20" s="229"/>
      <c r="I20" s="273" t="s">
        <v>102</v>
      </c>
      <c r="J20" s="66">
        <f>SUMIFS(Data!$H:$H,Data!$G:$G,I20,Data!$D:$D,$J$7,Data!$C:$C,$J$6,Data!$E:$E,$J$8)</f>
        <v>0</v>
      </c>
      <c r="K20" s="271" t="s">
        <v>103</v>
      </c>
      <c r="L20" s="263">
        <v>1</v>
      </c>
      <c r="M20" s="264">
        <f t="shared" si="4"/>
        <v>0</v>
      </c>
      <c r="N20" s="265">
        <f t="shared" si="2"/>
        <v>0</v>
      </c>
      <c r="O20" s="251"/>
      <c r="P20" s="229"/>
      <c r="Q20" s="229"/>
      <c r="R20" s="229"/>
      <c r="S20" s="229"/>
      <c r="T20" s="273" t="s">
        <v>102</v>
      </c>
      <c r="U20" s="66">
        <f>SUMIFS(Data!$H:$H,Data!$G:$G,T20,Data!$D:$D,$U$7,Data!$B:$B,$U$6,Data!$E:$E,$U$8)</f>
        <v>0</v>
      </c>
      <c r="V20" s="271" t="s">
        <v>103</v>
      </c>
      <c r="W20" s="263">
        <v>1</v>
      </c>
      <c r="X20" s="264">
        <f t="shared" si="5"/>
        <v>0</v>
      </c>
      <c r="Y20" s="265">
        <f t="shared" si="3"/>
        <v>0</v>
      </c>
      <c r="Z20" s="229"/>
      <c r="AA20" s="229"/>
      <c r="AB20" s="229"/>
      <c r="AC20" s="229"/>
      <c r="AD20" s="229"/>
    </row>
    <row r="21" spans="1:30" ht="15.75" customHeight="1" thickTop="1" thickBot="1" x14ac:dyDescent="0.25">
      <c r="A21" s="229"/>
      <c r="B21" s="318" t="s">
        <v>194</v>
      </c>
      <c r="C21" s="319"/>
      <c r="D21" s="319"/>
      <c r="E21" s="319"/>
      <c r="F21" s="319">
        <f>SUM(F13:F20)</f>
        <v>329021.80857762002</v>
      </c>
      <c r="G21" s="265">
        <f t="shared" si="1"/>
        <v>1</v>
      </c>
      <c r="H21" s="229"/>
      <c r="I21" s="318" t="s">
        <v>47</v>
      </c>
      <c r="J21" s="319"/>
      <c r="K21" s="319"/>
      <c r="L21" s="319"/>
      <c r="M21" s="319">
        <f>SUM(M13:M20)</f>
        <v>187697.4915</v>
      </c>
      <c r="N21" s="265">
        <f t="shared" si="2"/>
        <v>1</v>
      </c>
      <c r="O21" s="251"/>
      <c r="P21" s="229"/>
      <c r="Q21" s="229"/>
      <c r="R21" s="233"/>
      <c r="S21" s="277"/>
      <c r="T21" s="318" t="s">
        <v>47</v>
      </c>
      <c r="U21" s="319"/>
      <c r="V21" s="319"/>
      <c r="W21" s="319"/>
      <c r="X21" s="319">
        <f>SUM(X13:X20)</f>
        <v>315539.03544000001</v>
      </c>
      <c r="Y21" s="265">
        <f>X21/$X$21</f>
        <v>1</v>
      </c>
      <c r="Z21" s="229"/>
      <c r="AA21" s="229"/>
      <c r="AB21" s="229"/>
      <c r="AC21" s="229"/>
      <c r="AD21" s="279"/>
    </row>
    <row r="22" spans="1:30" ht="15.75" customHeight="1" thickTop="1" thickBot="1" x14ac:dyDescent="0.25">
      <c r="A22" s="229"/>
      <c r="B22" s="229"/>
      <c r="C22" s="229"/>
      <c r="D22" s="229"/>
      <c r="E22" s="229"/>
      <c r="F22" s="229"/>
      <c r="G22" s="229"/>
      <c r="H22" s="229"/>
      <c r="I22" s="233"/>
      <c r="J22" s="277"/>
      <c r="K22" s="278"/>
      <c r="L22" s="278"/>
      <c r="M22" s="278"/>
      <c r="N22" s="251"/>
      <c r="O22" s="251"/>
      <c r="P22" s="229"/>
      <c r="Q22" s="229"/>
      <c r="R22" s="233"/>
      <c r="S22" s="277"/>
      <c r="T22" s="267"/>
      <c r="U22" s="278"/>
      <c r="V22" s="269"/>
      <c r="W22" s="229"/>
      <c r="X22" s="229"/>
      <c r="Y22" s="229"/>
      <c r="Z22" s="229"/>
      <c r="AA22" s="229"/>
      <c r="AB22" s="229"/>
      <c r="AC22" s="229"/>
      <c r="AD22" s="229"/>
    </row>
    <row r="23" spans="1:30" ht="15.75" customHeight="1" thickTop="1" thickBot="1" x14ac:dyDescent="0.25">
      <c r="A23" s="229"/>
      <c r="B23" s="229"/>
      <c r="C23" s="229"/>
      <c r="D23" s="229"/>
      <c r="E23" s="229"/>
      <c r="F23" s="229"/>
      <c r="G23" s="229"/>
      <c r="H23" s="229"/>
      <c r="I23" s="233"/>
      <c r="J23" s="277"/>
      <c r="K23" s="278"/>
      <c r="L23" s="278"/>
      <c r="M23" s="278"/>
      <c r="N23" s="251"/>
      <c r="O23" s="251"/>
      <c r="P23" s="229"/>
      <c r="Q23" s="229"/>
      <c r="R23" s="233"/>
      <c r="S23" s="277"/>
      <c r="T23" s="267"/>
      <c r="U23" s="278"/>
      <c r="V23" s="269"/>
      <c r="W23" s="229"/>
      <c r="X23" s="229"/>
      <c r="Y23" s="229"/>
      <c r="Z23" s="229"/>
      <c r="AA23" s="229"/>
      <c r="AB23" s="229"/>
      <c r="AC23" s="229"/>
      <c r="AD23" s="229"/>
    </row>
    <row r="24" spans="1:30" ht="15.75" customHeight="1" thickTop="1" thickBot="1" x14ac:dyDescent="0.25">
      <c r="A24" s="229"/>
      <c r="B24" s="229"/>
      <c r="C24" s="229"/>
      <c r="D24" s="229"/>
      <c r="E24" s="229"/>
      <c r="F24" s="229"/>
      <c r="G24" s="229"/>
      <c r="H24" s="229"/>
      <c r="I24" s="233"/>
      <c r="J24" s="277"/>
      <c r="K24" s="278"/>
      <c r="L24" s="278"/>
      <c r="M24" s="278"/>
      <c r="N24" s="251"/>
      <c r="O24" s="251"/>
      <c r="P24" s="229"/>
      <c r="Q24" s="229"/>
      <c r="R24" s="233"/>
      <c r="S24" s="277"/>
      <c r="T24" s="267"/>
      <c r="U24" s="278"/>
      <c r="V24" s="269"/>
      <c r="W24" s="229"/>
      <c r="X24" s="229"/>
      <c r="Y24" s="229"/>
      <c r="Z24" s="229"/>
      <c r="AA24" s="229"/>
      <c r="AB24" s="229"/>
      <c r="AC24" s="229"/>
      <c r="AD24" s="229"/>
    </row>
    <row r="25" spans="1:30" ht="15.75" customHeight="1" thickTop="1" thickBot="1" x14ac:dyDescent="0.25">
      <c r="A25" s="229"/>
      <c r="B25" s="229"/>
      <c r="C25" s="229"/>
      <c r="D25" s="229"/>
      <c r="E25" s="229"/>
      <c r="F25" s="229"/>
      <c r="G25" s="229"/>
      <c r="H25" s="229"/>
      <c r="I25" s="233"/>
      <c r="J25" s="277"/>
      <c r="K25" s="278"/>
      <c r="L25" s="278"/>
      <c r="M25" s="278"/>
      <c r="N25" s="251"/>
      <c r="O25" s="251"/>
      <c r="P25" s="229"/>
      <c r="Q25" s="229"/>
      <c r="R25" s="233"/>
      <c r="S25" s="277"/>
      <c r="T25" s="267"/>
      <c r="U25" s="278"/>
      <c r="V25" s="269"/>
      <c r="W25" s="229"/>
      <c r="X25" s="229"/>
      <c r="Y25" s="229"/>
      <c r="Z25" s="229"/>
      <c r="AA25" s="229"/>
      <c r="AB25" s="229"/>
      <c r="AC25" s="229"/>
      <c r="AD25" s="229"/>
    </row>
    <row r="26" spans="1:30" ht="15.75" customHeight="1" thickTop="1" thickBot="1" x14ac:dyDescent="0.25">
      <c r="A26" s="229"/>
      <c r="B26" s="280" t="s">
        <v>195</v>
      </c>
      <c r="C26" s="281"/>
      <c r="D26" s="281"/>
      <c r="E26" s="282"/>
      <c r="F26" s="229"/>
      <c r="G26" s="229"/>
      <c r="H26" s="229"/>
      <c r="I26" s="366" t="s">
        <v>195</v>
      </c>
      <c r="J26" s="367"/>
      <c r="K26" s="367"/>
      <c r="L26" s="368"/>
      <c r="M26" s="229"/>
      <c r="N26" s="251"/>
      <c r="O26" s="251"/>
      <c r="P26" s="229"/>
      <c r="Q26" s="229"/>
      <c r="R26" s="233"/>
      <c r="S26" s="277"/>
      <c r="T26" s="366" t="s">
        <v>195</v>
      </c>
      <c r="U26" s="367"/>
      <c r="V26" s="367"/>
      <c r="W26" s="368"/>
      <c r="X26" s="229"/>
      <c r="Y26" s="229"/>
      <c r="Z26" s="229"/>
      <c r="AA26" s="229"/>
      <c r="AB26" s="229"/>
      <c r="AC26" s="229"/>
      <c r="AD26" s="229"/>
    </row>
    <row r="27" spans="1:30" ht="15.75" customHeight="1" thickTop="1" thickBot="1" x14ac:dyDescent="0.25">
      <c r="A27" s="229"/>
      <c r="B27" s="283" t="s">
        <v>4</v>
      </c>
      <c r="C27" s="284" t="s">
        <v>196</v>
      </c>
      <c r="D27" s="283" t="s">
        <v>4</v>
      </c>
      <c r="E27" s="285" t="s">
        <v>13</v>
      </c>
      <c r="F27" s="229"/>
      <c r="G27" s="229"/>
      <c r="H27" s="229"/>
      <c r="I27" s="283" t="s">
        <v>4</v>
      </c>
      <c r="J27" s="284" t="s">
        <v>196</v>
      </c>
      <c r="K27" s="283" t="s">
        <v>4</v>
      </c>
      <c r="L27" s="285" t="s">
        <v>13</v>
      </c>
      <c r="M27" s="229"/>
      <c r="N27" s="251"/>
      <c r="O27" s="251"/>
      <c r="P27" s="229"/>
      <c r="Q27" s="229"/>
      <c r="R27" s="233"/>
      <c r="S27" s="277"/>
      <c r="T27" s="283" t="s">
        <v>4</v>
      </c>
      <c r="U27" s="284" t="s">
        <v>196</v>
      </c>
      <c r="V27" s="283" t="s">
        <v>4</v>
      </c>
      <c r="W27" s="285" t="s">
        <v>13</v>
      </c>
      <c r="X27" s="229"/>
      <c r="Y27" s="229"/>
      <c r="Z27" s="229"/>
      <c r="AA27" s="229"/>
      <c r="AB27" s="229"/>
      <c r="AC27" s="229"/>
      <c r="AD27" s="229"/>
    </row>
    <row r="28" spans="1:30" ht="15.75" customHeight="1" thickTop="1" x14ac:dyDescent="0.2">
      <c r="A28" s="229"/>
      <c r="B28" s="286" t="s">
        <v>5</v>
      </c>
      <c r="C28" s="287">
        <f>F13</f>
        <v>66455.250533999992</v>
      </c>
      <c r="D28" s="286" t="str">
        <f t="shared" ref="D28:D35" si="6">INDEX($B$28:$B$35, MATCH(E28,$C$28:$C$35,0))</f>
        <v>Elektriciteitsverbruik - groene stroom</v>
      </c>
      <c r="E28" s="288">
        <f t="shared" ref="E28:E35" si="7">LARGE($C$28:$C$35,F28)</f>
        <v>259890.05164319999</v>
      </c>
      <c r="F28" s="229">
        <v>1</v>
      </c>
      <c r="G28" s="229"/>
      <c r="H28" s="229"/>
      <c r="I28" s="286" t="s">
        <v>5</v>
      </c>
      <c r="J28" s="287">
        <f>M13</f>
        <v>24132.935099999999</v>
      </c>
      <c r="K28" s="286" t="str">
        <f t="shared" ref="K28:K35" si="8">INDEX($B$28:$B$35, MATCH(L28,$C$28:$C$35,0))</f>
        <v>Elektriciteitsverbruik - groene stroom</v>
      </c>
      <c r="L28" s="288">
        <f t="shared" ref="L28:L35" si="9">LARGE($C$28:$C$35,M28)</f>
        <v>259890.05164319999</v>
      </c>
      <c r="M28" s="229">
        <v>1</v>
      </c>
      <c r="N28" s="251"/>
      <c r="O28" s="251"/>
      <c r="P28" s="229"/>
      <c r="Q28" s="229"/>
      <c r="R28" s="233"/>
      <c r="S28" s="277"/>
      <c r="T28" s="286" t="s">
        <v>5</v>
      </c>
      <c r="U28" s="287">
        <f>X13</f>
        <v>64567.898999999998</v>
      </c>
      <c r="V28" s="286" t="e">
        <f>INDEX($V$28:$V$35, MATCH(W28,$W$28:$W$35,0))</f>
        <v>#NUM!</v>
      </c>
      <c r="W28" s="288" t="e">
        <f t="shared" ref="W28:W35" si="10">LARGE($C$28:$C$35,X28)</f>
        <v>#NUM!</v>
      </c>
      <c r="X28" s="229"/>
      <c r="Y28" s="229"/>
      <c r="Z28" s="229"/>
      <c r="AA28" s="229"/>
      <c r="AB28" s="229"/>
      <c r="AC28" s="229"/>
      <c r="AD28" s="229"/>
    </row>
    <row r="29" spans="1:30" ht="15.75" customHeight="1" x14ac:dyDescent="0.2">
      <c r="A29" s="229"/>
      <c r="B29" s="286" t="s">
        <v>81</v>
      </c>
      <c r="C29" s="287">
        <f>F14</f>
        <v>1447.758850272</v>
      </c>
      <c r="D29" s="286" t="str">
        <f t="shared" si="6"/>
        <v>Gasverbruik</v>
      </c>
      <c r="E29" s="288">
        <f t="shared" si="7"/>
        <v>66455.250533999992</v>
      </c>
      <c r="F29" s="229">
        <v>2</v>
      </c>
      <c r="G29" s="229"/>
      <c r="H29" s="229"/>
      <c r="I29" s="286" t="s">
        <v>81</v>
      </c>
      <c r="J29" s="287">
        <f>M14</f>
        <v>0</v>
      </c>
      <c r="K29" s="286" t="str">
        <f t="shared" si="8"/>
        <v>Gasverbruik</v>
      </c>
      <c r="L29" s="288">
        <f t="shared" si="9"/>
        <v>66455.250533999992</v>
      </c>
      <c r="M29" s="229">
        <v>2</v>
      </c>
      <c r="N29" s="278"/>
      <c r="O29" s="278"/>
      <c r="P29" s="229"/>
      <c r="Q29" s="229"/>
      <c r="R29" s="233"/>
      <c r="S29" s="277"/>
      <c r="T29" s="286" t="s">
        <v>81</v>
      </c>
      <c r="U29" s="287">
        <f>X14</f>
        <v>990.84249599999998</v>
      </c>
      <c r="V29" s="286" t="e">
        <f t="shared" ref="V29:V35" si="11">INDEX($B$28:$B$35, MATCH(W29,$C$28:$C$35,0))</f>
        <v>#NUM!</v>
      </c>
      <c r="W29" s="288" t="e">
        <f t="shared" si="10"/>
        <v>#NUM!</v>
      </c>
      <c r="X29" s="229"/>
      <c r="Y29" s="229"/>
      <c r="Z29" s="229"/>
      <c r="AA29" s="229"/>
      <c r="AB29" s="229"/>
      <c r="AC29" s="229"/>
      <c r="AD29" s="229"/>
    </row>
    <row r="30" spans="1:30" ht="15.75" customHeight="1" x14ac:dyDescent="0.2">
      <c r="A30" s="229"/>
      <c r="B30" s="286" t="s">
        <v>82</v>
      </c>
      <c r="C30" s="287">
        <f>F15</f>
        <v>964.53600094800004</v>
      </c>
      <c r="D30" s="286" t="str">
        <f t="shared" si="6"/>
        <v>Brandstofverbruik - diesel</v>
      </c>
      <c r="E30" s="288">
        <f t="shared" si="7"/>
        <v>1447.758850272</v>
      </c>
      <c r="F30" s="229">
        <v>3</v>
      </c>
      <c r="G30" s="229"/>
      <c r="H30" s="229"/>
      <c r="I30" s="286" t="s">
        <v>82</v>
      </c>
      <c r="J30" s="287">
        <f>M15</f>
        <v>0</v>
      </c>
      <c r="K30" s="286" t="str">
        <f t="shared" si="8"/>
        <v>Brandstofverbruik - diesel</v>
      </c>
      <c r="L30" s="288">
        <f t="shared" si="9"/>
        <v>1447.758850272</v>
      </c>
      <c r="M30" s="229">
        <v>3</v>
      </c>
      <c r="N30" s="278"/>
      <c r="O30" s="278"/>
      <c r="P30" s="229"/>
      <c r="Q30" s="229"/>
      <c r="R30" s="233"/>
      <c r="S30" s="277"/>
      <c r="T30" s="286" t="s">
        <v>82</v>
      </c>
      <c r="U30" s="287">
        <f>X15</f>
        <v>955.68314399999997</v>
      </c>
      <c r="V30" s="286" t="e">
        <f t="shared" si="11"/>
        <v>#NUM!</v>
      </c>
      <c r="W30" s="288" t="e">
        <f t="shared" si="10"/>
        <v>#NUM!</v>
      </c>
      <c r="X30" s="229"/>
      <c r="Y30" s="229"/>
      <c r="Z30" s="229"/>
      <c r="AA30" s="229"/>
      <c r="AB30" s="229"/>
      <c r="AC30" s="229"/>
      <c r="AD30" s="229"/>
    </row>
    <row r="31" spans="1:30" ht="15.75" customHeight="1" x14ac:dyDescent="0.2">
      <c r="A31" s="229"/>
      <c r="B31" s="286" t="s">
        <v>92</v>
      </c>
      <c r="C31" s="287">
        <f>F16</f>
        <v>0</v>
      </c>
      <c r="D31" s="286" t="str">
        <f t="shared" si="6"/>
        <v>Brandstofverbruik - benzine</v>
      </c>
      <c r="E31" s="288">
        <f t="shared" si="7"/>
        <v>964.53600094800004</v>
      </c>
      <c r="F31" s="229">
        <v>4</v>
      </c>
      <c r="G31" s="229"/>
      <c r="H31" s="229"/>
      <c r="I31" s="286" t="s">
        <v>92</v>
      </c>
      <c r="J31" s="287">
        <f>M16</f>
        <v>0</v>
      </c>
      <c r="K31" s="286" t="str">
        <f t="shared" si="8"/>
        <v>Brandstofverbruik - benzine</v>
      </c>
      <c r="L31" s="288">
        <f t="shared" si="9"/>
        <v>964.53600094800004</v>
      </c>
      <c r="M31" s="229">
        <v>4</v>
      </c>
      <c r="N31" s="278"/>
      <c r="O31" s="278"/>
      <c r="P31" s="229"/>
      <c r="Q31" s="229"/>
      <c r="R31" s="233"/>
      <c r="S31" s="277"/>
      <c r="T31" s="286" t="s">
        <v>92</v>
      </c>
      <c r="U31" s="287">
        <f>X16</f>
        <v>0</v>
      </c>
      <c r="V31" s="286" t="e">
        <f t="shared" si="11"/>
        <v>#NUM!</v>
      </c>
      <c r="W31" s="288" t="e">
        <f t="shared" si="10"/>
        <v>#NUM!</v>
      </c>
      <c r="X31" s="229"/>
      <c r="Y31" s="229"/>
      <c r="Z31" s="229"/>
      <c r="AA31" s="229"/>
      <c r="AB31" s="229"/>
      <c r="AC31" s="229"/>
      <c r="AD31" s="229"/>
    </row>
    <row r="32" spans="1:30" ht="15.75" customHeight="1" x14ac:dyDescent="0.2">
      <c r="A32" s="229"/>
      <c r="B32" s="286" t="s">
        <v>29</v>
      </c>
      <c r="C32" s="287">
        <f t="shared" ref="C32:C35" si="12">F17</f>
        <v>261.29806559999997</v>
      </c>
      <c r="D32" s="286" t="str">
        <f t="shared" si="6"/>
        <v>Elektriciteitsverbruik - grijze stroom</v>
      </c>
      <c r="E32" s="288">
        <f t="shared" si="7"/>
        <v>261.29806559999997</v>
      </c>
      <c r="F32" s="229">
        <v>5</v>
      </c>
      <c r="G32" s="229"/>
      <c r="H32" s="229"/>
      <c r="I32" s="286" t="s">
        <v>29</v>
      </c>
      <c r="J32" s="287">
        <f t="shared" ref="J32:J35" si="13">M17</f>
        <v>121469.004</v>
      </c>
      <c r="K32" s="286" t="str">
        <f t="shared" si="8"/>
        <v>Elektriciteitsverbruik - grijze stroom</v>
      </c>
      <c r="L32" s="288">
        <f t="shared" si="9"/>
        <v>261.29806559999997</v>
      </c>
      <c r="M32" s="229">
        <v>5</v>
      </c>
      <c r="N32" s="278"/>
      <c r="O32" s="278"/>
      <c r="P32" s="229"/>
      <c r="Q32" s="229"/>
      <c r="R32" s="233"/>
      <c r="S32" s="277"/>
      <c r="T32" s="286" t="s">
        <v>29</v>
      </c>
      <c r="U32" s="287">
        <f t="shared" ref="U32:U35" si="14">X17</f>
        <v>0</v>
      </c>
      <c r="V32" s="286" t="e">
        <f t="shared" si="11"/>
        <v>#NUM!</v>
      </c>
      <c r="W32" s="288" t="e">
        <f t="shared" si="10"/>
        <v>#NUM!</v>
      </c>
      <c r="X32" s="229"/>
      <c r="Y32" s="229"/>
      <c r="Z32" s="229"/>
      <c r="AA32" s="229"/>
      <c r="AB32" s="229"/>
      <c r="AC32" s="229"/>
      <c r="AD32" s="229"/>
    </row>
    <row r="33" spans="1:30" ht="15.75" customHeight="1" x14ac:dyDescent="0.2">
      <c r="A33" s="229"/>
      <c r="B33" s="286" t="s">
        <v>28</v>
      </c>
      <c r="C33" s="287">
        <f t="shared" si="12"/>
        <v>259890.05164319999</v>
      </c>
      <c r="D33" s="286" t="str">
        <f t="shared" si="6"/>
        <v>Elektriciteitsverbruik - wagens</v>
      </c>
      <c r="E33" s="288">
        <f t="shared" si="7"/>
        <v>2.9134836000000002</v>
      </c>
      <c r="F33" s="229">
        <v>6</v>
      </c>
      <c r="G33" s="229"/>
      <c r="H33" s="229"/>
      <c r="I33" s="286" t="s">
        <v>28</v>
      </c>
      <c r="J33" s="287">
        <f t="shared" si="13"/>
        <v>42095.5524</v>
      </c>
      <c r="K33" s="286" t="str">
        <f t="shared" si="8"/>
        <v>Elektriciteitsverbruik - wagens</v>
      </c>
      <c r="L33" s="288">
        <f t="shared" si="9"/>
        <v>2.9134836000000002</v>
      </c>
      <c r="M33" s="229">
        <v>6</v>
      </c>
      <c r="N33" s="278"/>
      <c r="O33" s="278"/>
      <c r="P33" s="229"/>
      <c r="Q33" s="229"/>
      <c r="R33" s="233"/>
      <c r="S33" s="277"/>
      <c r="T33" s="286" t="s">
        <v>28</v>
      </c>
      <c r="U33" s="287">
        <f t="shared" si="14"/>
        <v>249024.61079999999</v>
      </c>
      <c r="V33" s="286" t="e">
        <f t="shared" si="11"/>
        <v>#NUM!</v>
      </c>
      <c r="W33" s="288" t="e">
        <f t="shared" si="10"/>
        <v>#NUM!</v>
      </c>
      <c r="X33" s="229"/>
      <c r="Y33" s="229"/>
      <c r="Z33" s="229"/>
      <c r="AA33" s="229"/>
      <c r="AB33" s="229"/>
      <c r="AC33" s="229"/>
      <c r="AD33" s="229"/>
    </row>
    <row r="34" spans="1:30" ht="15.75" customHeight="1" x14ac:dyDescent="0.2">
      <c r="A34" s="229"/>
      <c r="B34" s="286" t="s">
        <v>97</v>
      </c>
      <c r="C34" s="287">
        <f t="shared" si="12"/>
        <v>2.9134836000000002</v>
      </c>
      <c r="D34" s="286" t="str">
        <f t="shared" si="6"/>
        <v>Biogas gespuid</v>
      </c>
      <c r="E34" s="288">
        <f t="shared" si="7"/>
        <v>0</v>
      </c>
      <c r="F34" s="229">
        <v>7</v>
      </c>
      <c r="G34" s="229"/>
      <c r="H34" s="229"/>
      <c r="I34" s="286" t="s">
        <v>97</v>
      </c>
      <c r="J34" s="287">
        <f t="shared" si="13"/>
        <v>0</v>
      </c>
      <c r="K34" s="286" t="str">
        <f t="shared" si="8"/>
        <v>Biogas gespuid</v>
      </c>
      <c r="L34" s="288">
        <f t="shared" si="9"/>
        <v>0</v>
      </c>
      <c r="M34" s="229">
        <v>7</v>
      </c>
      <c r="N34" s="278"/>
      <c r="O34" s="278"/>
      <c r="P34" s="229"/>
      <c r="Q34" s="229"/>
      <c r="R34" s="233"/>
      <c r="S34" s="277"/>
      <c r="T34" s="286" t="s">
        <v>97</v>
      </c>
      <c r="U34" s="287">
        <f t="shared" si="14"/>
        <v>0</v>
      </c>
      <c r="V34" s="286" t="e">
        <f t="shared" si="11"/>
        <v>#NUM!</v>
      </c>
      <c r="W34" s="288" t="e">
        <f t="shared" si="10"/>
        <v>#NUM!</v>
      </c>
      <c r="X34" s="229"/>
      <c r="Y34" s="229"/>
      <c r="Z34" s="229"/>
      <c r="AA34" s="229"/>
      <c r="AB34" s="229"/>
      <c r="AC34" s="229"/>
      <c r="AD34" s="229"/>
    </row>
    <row r="35" spans="1:30" ht="15.75" customHeight="1" x14ac:dyDescent="0.2">
      <c r="A35" s="229"/>
      <c r="B35" s="286" t="s">
        <v>102</v>
      </c>
      <c r="C35" s="287">
        <f t="shared" si="12"/>
        <v>0</v>
      </c>
      <c r="D35" s="286" t="str">
        <f t="shared" si="6"/>
        <v>Biogas gespuid</v>
      </c>
      <c r="E35" s="288">
        <f t="shared" si="7"/>
        <v>0</v>
      </c>
      <c r="F35" s="229">
        <v>7</v>
      </c>
      <c r="G35" s="229"/>
      <c r="H35" s="229"/>
      <c r="I35" s="286" t="s">
        <v>102</v>
      </c>
      <c r="J35" s="287">
        <f t="shared" si="13"/>
        <v>0</v>
      </c>
      <c r="K35" s="286" t="str">
        <f t="shared" si="8"/>
        <v>Biogas gespuid</v>
      </c>
      <c r="L35" s="288">
        <f t="shared" si="9"/>
        <v>0</v>
      </c>
      <c r="M35" s="229">
        <v>7</v>
      </c>
      <c r="N35" s="278"/>
      <c r="O35" s="278"/>
      <c r="P35" s="229"/>
      <c r="Q35" s="229"/>
      <c r="R35" s="233"/>
      <c r="S35" s="277"/>
      <c r="T35" s="286" t="s">
        <v>102</v>
      </c>
      <c r="U35" s="287">
        <f t="shared" si="14"/>
        <v>0</v>
      </c>
      <c r="V35" s="286" t="e">
        <f t="shared" si="11"/>
        <v>#NUM!</v>
      </c>
      <c r="W35" s="288" t="e">
        <f t="shared" si="10"/>
        <v>#NUM!</v>
      </c>
      <c r="X35" s="229"/>
      <c r="Y35" s="229"/>
      <c r="Z35" s="229"/>
      <c r="AA35" s="229"/>
      <c r="AB35" s="229"/>
      <c r="AC35" s="229"/>
      <c r="AD35" s="229"/>
    </row>
    <row r="36" spans="1:30" ht="15.75" customHeight="1" x14ac:dyDescent="0.2">
      <c r="A36" s="229"/>
      <c r="B36" s="229"/>
      <c r="C36" s="229"/>
      <c r="D36" s="229"/>
      <c r="E36" s="229"/>
      <c r="F36" s="229"/>
      <c r="G36" s="229"/>
      <c r="H36" s="229"/>
      <c r="I36" s="233"/>
      <c r="J36" s="277"/>
      <c r="K36" s="278"/>
      <c r="L36" s="278"/>
      <c r="M36" s="278"/>
      <c r="N36" s="278"/>
      <c r="O36" s="278"/>
      <c r="P36" s="229"/>
      <c r="Q36" s="229"/>
      <c r="R36" s="233"/>
      <c r="S36" s="277"/>
      <c r="T36" s="267"/>
      <c r="U36" s="278"/>
      <c r="V36" s="269"/>
      <c r="W36" s="229"/>
      <c r="X36" s="229"/>
      <c r="Y36" s="229"/>
      <c r="Z36" s="229"/>
      <c r="AA36" s="229"/>
      <c r="AB36" s="229"/>
      <c r="AC36" s="229"/>
      <c r="AD36" s="229"/>
    </row>
    <row r="37" spans="1:30" ht="15.75" customHeight="1" x14ac:dyDescent="0.2">
      <c r="A37" s="229"/>
      <c r="B37" s="229"/>
      <c r="C37" s="229"/>
      <c r="D37" s="229"/>
      <c r="E37" s="229"/>
      <c r="F37" s="229"/>
      <c r="G37" s="229"/>
      <c r="H37" s="229"/>
      <c r="I37" s="233"/>
      <c r="J37" s="277"/>
      <c r="K37" s="278"/>
      <c r="L37" s="278"/>
      <c r="M37" s="278"/>
      <c r="N37" s="278"/>
      <c r="O37" s="278"/>
      <c r="P37" s="229"/>
      <c r="Q37" s="229"/>
      <c r="R37" s="233"/>
      <c r="S37" s="277"/>
      <c r="T37" s="267"/>
      <c r="U37" s="278"/>
      <c r="V37" s="269"/>
      <c r="W37" s="229"/>
      <c r="X37" s="229"/>
      <c r="Y37" s="229"/>
      <c r="Z37" s="229"/>
      <c r="AA37" s="229"/>
      <c r="AB37" s="229"/>
      <c r="AC37" s="229"/>
      <c r="AD37" s="229"/>
    </row>
    <row r="38" spans="1:30" ht="15.75" customHeight="1" x14ac:dyDescent="0.2">
      <c r="A38" s="229"/>
      <c r="B38" s="229"/>
      <c r="C38" s="229"/>
      <c r="D38" s="229"/>
      <c r="E38" s="229"/>
      <c r="F38" s="229"/>
      <c r="G38" s="229"/>
      <c r="H38" s="229"/>
      <c r="I38" s="233"/>
      <c r="J38" s="277"/>
      <c r="K38" s="278"/>
      <c r="L38" s="278"/>
      <c r="M38" s="278"/>
      <c r="N38" s="278"/>
      <c r="O38" s="278"/>
      <c r="P38" s="229"/>
      <c r="Q38" s="229"/>
      <c r="R38" s="233"/>
      <c r="S38" s="277"/>
      <c r="T38" s="267"/>
      <c r="U38" s="278"/>
      <c r="V38" s="269"/>
      <c r="W38" s="229"/>
      <c r="X38" s="229"/>
      <c r="Y38" s="229"/>
      <c r="Z38" s="229"/>
      <c r="AA38" s="229"/>
      <c r="AB38" s="229"/>
      <c r="AC38" s="229"/>
      <c r="AD38" s="229"/>
    </row>
    <row r="39" spans="1:30" ht="15.75" customHeight="1" x14ac:dyDescent="0.2">
      <c r="A39" s="229"/>
      <c r="B39" s="229"/>
      <c r="C39" s="229"/>
      <c r="D39" s="229"/>
      <c r="E39" s="229"/>
      <c r="F39" s="229"/>
      <c r="G39" s="229"/>
      <c r="H39" s="229"/>
      <c r="I39" s="233"/>
      <c r="J39" s="277"/>
      <c r="K39" s="278"/>
      <c r="L39" s="278"/>
      <c r="M39" s="278"/>
      <c r="N39" s="278"/>
      <c r="O39" s="278"/>
      <c r="P39" s="229"/>
      <c r="Q39" s="229"/>
      <c r="R39" s="233"/>
      <c r="S39" s="277"/>
      <c r="T39" s="267"/>
      <c r="U39" s="278"/>
      <c r="V39" s="269"/>
      <c r="W39" s="229"/>
      <c r="X39" s="229"/>
      <c r="Y39" s="229"/>
      <c r="Z39" s="229"/>
      <c r="AA39" s="229"/>
      <c r="AB39" s="229"/>
      <c r="AC39" s="229"/>
      <c r="AD39" s="229"/>
    </row>
    <row r="40" spans="1:30" ht="15.75" customHeight="1" x14ac:dyDescent="0.2">
      <c r="A40" s="229"/>
      <c r="B40" s="229"/>
      <c r="C40" s="229"/>
      <c r="D40" s="229"/>
      <c r="E40" s="229"/>
      <c r="F40" s="229"/>
      <c r="G40" s="229"/>
      <c r="H40" s="229"/>
      <c r="I40" s="233"/>
      <c r="J40" s="277"/>
      <c r="K40" s="278"/>
      <c r="L40" s="278"/>
      <c r="M40" s="278"/>
      <c r="N40" s="278"/>
      <c r="O40" s="278"/>
      <c r="P40" s="229"/>
      <c r="Q40" s="229"/>
      <c r="R40" s="233"/>
      <c r="S40" s="277"/>
      <c r="T40" s="267"/>
      <c r="U40" s="278"/>
      <c r="V40" s="269"/>
      <c r="W40" s="229"/>
      <c r="X40" s="229"/>
      <c r="Y40" s="229"/>
      <c r="Z40" s="229"/>
      <c r="AA40" s="229"/>
      <c r="AB40" s="229"/>
      <c r="AC40" s="229"/>
      <c r="AD40" s="229"/>
    </row>
    <row r="41" spans="1:30" ht="15.75" customHeight="1" thickBot="1" x14ac:dyDescent="0.25">
      <c r="A41" s="229"/>
      <c r="B41" s="229"/>
      <c r="C41" s="229"/>
      <c r="D41" s="229"/>
      <c r="E41" s="229"/>
      <c r="F41" s="229"/>
      <c r="G41" s="229"/>
      <c r="H41" s="229"/>
      <c r="I41" s="233"/>
      <c r="J41" s="277"/>
      <c r="K41" s="278"/>
      <c r="L41" s="278"/>
      <c r="M41" s="278"/>
      <c r="N41" s="278"/>
      <c r="O41" s="278"/>
      <c r="P41" s="229"/>
      <c r="Q41" s="229"/>
      <c r="R41" s="233"/>
      <c r="S41" s="277"/>
      <c r="T41" s="267"/>
      <c r="U41" s="278"/>
      <c r="V41" s="269"/>
      <c r="W41" s="229"/>
      <c r="X41" s="229"/>
      <c r="Y41" s="229"/>
      <c r="Z41" s="229"/>
      <c r="AA41" s="229"/>
      <c r="AB41" s="229"/>
      <c r="AC41" s="229"/>
      <c r="AD41" s="229"/>
    </row>
    <row r="42" spans="1:30" ht="15.75" hidden="1" customHeight="1" thickBot="1" x14ac:dyDescent="0.25">
      <c r="A42" s="229"/>
      <c r="B42" s="229"/>
      <c r="C42" s="229"/>
      <c r="D42" s="229"/>
      <c r="E42" s="229"/>
      <c r="F42" s="229"/>
      <c r="G42" s="229"/>
      <c r="H42" s="229"/>
      <c r="I42" s="289"/>
      <c r="J42" s="229"/>
      <c r="K42" s="274"/>
      <c r="L42" s="274"/>
      <c r="M42" s="274"/>
      <c r="N42" s="274"/>
      <c r="O42" s="274"/>
      <c r="P42" s="229"/>
      <c r="Q42" s="229"/>
      <c r="R42" s="289"/>
      <c r="S42" s="229"/>
      <c r="T42" s="229"/>
      <c r="U42" s="274"/>
      <c r="V42" s="290"/>
      <c r="W42" s="229"/>
      <c r="X42" s="229"/>
      <c r="Y42" s="229"/>
      <c r="Z42" s="229"/>
      <c r="AA42" s="229"/>
      <c r="AB42" s="229"/>
      <c r="AC42" s="229"/>
      <c r="AD42" s="229"/>
    </row>
    <row r="43" spans="1:30" ht="21" hidden="1" customHeight="1" thickTop="1" thickBot="1" x14ac:dyDescent="0.25">
      <c r="A43" s="229"/>
      <c r="B43" s="346" t="s">
        <v>197</v>
      </c>
      <c r="C43" s="347"/>
      <c r="D43" s="347"/>
      <c r="E43" s="347"/>
      <c r="F43" s="347"/>
      <c r="G43" s="229"/>
      <c r="H43" s="229"/>
      <c r="I43" s="348" t="str">
        <f xml:space="preserve"> "TABEL EV2. VOORTGANG JAARLIJKSE ENERGIEVERBRUIK, " &amp; UPPER(J6)</f>
        <v>TABEL EV2. VOORTGANG JAARLIJKSE ENERGIEVERBRUIK, RWZI</v>
      </c>
      <c r="J43" s="349"/>
      <c r="K43" s="349"/>
      <c r="L43" s="349"/>
      <c r="M43" s="349"/>
      <c r="N43" s="251"/>
      <c r="O43" s="251"/>
      <c r="P43" s="229"/>
      <c r="Q43" s="229"/>
      <c r="R43" s="291"/>
      <c r="S43" s="274"/>
      <c r="T43" s="274"/>
      <c r="U43" s="274"/>
      <c r="V43" s="292"/>
      <c r="W43" s="229"/>
      <c r="X43" s="229"/>
      <c r="Y43" s="229"/>
      <c r="Z43" s="229"/>
      <c r="AA43" s="229"/>
      <c r="AB43" s="229"/>
      <c r="AC43" s="229"/>
      <c r="AD43" s="229"/>
    </row>
    <row r="44" spans="1:30" ht="15.75" hidden="1" customHeight="1" thickTop="1" thickBot="1" x14ac:dyDescent="0.25">
      <c r="A44" s="229"/>
      <c r="B44" s="253"/>
      <c r="C44" s="254">
        <v>2019</v>
      </c>
      <c r="D44" s="254">
        <f t="shared" ref="D44:F44" si="15">C44+1</f>
        <v>2020</v>
      </c>
      <c r="E44" s="254">
        <f>D44+1</f>
        <v>2021</v>
      </c>
      <c r="F44" s="254">
        <f t="shared" si="15"/>
        <v>2022</v>
      </c>
      <c r="G44" s="229"/>
      <c r="H44" s="229"/>
      <c r="I44" s="253"/>
      <c r="J44" s="254">
        <v>2019</v>
      </c>
      <c r="K44" s="254">
        <f t="shared" ref="K44:M44" si="16">+J44+1</f>
        <v>2020</v>
      </c>
      <c r="L44" s="254">
        <f t="shared" si="16"/>
        <v>2021</v>
      </c>
      <c r="M44" s="254">
        <f t="shared" si="16"/>
        <v>2022</v>
      </c>
      <c r="N44" s="229"/>
      <c r="O44" s="229"/>
      <c r="P44" s="229"/>
      <c r="Q44" s="229"/>
      <c r="R44" s="291"/>
      <c r="S44" s="274"/>
      <c r="T44" s="274"/>
      <c r="U44" s="274"/>
      <c r="V44" s="292"/>
      <c r="W44" s="229"/>
      <c r="X44" s="229"/>
      <c r="Y44" s="229"/>
      <c r="Z44" s="229"/>
      <c r="AA44" s="229"/>
      <c r="AB44" s="229"/>
      <c r="AC44" s="229"/>
      <c r="AD44" s="229"/>
    </row>
    <row r="45" spans="1:30" ht="15.75" hidden="1" customHeight="1" thickTop="1" thickBot="1" x14ac:dyDescent="0.25">
      <c r="A45" s="229"/>
      <c r="B45" s="293" t="s">
        <v>198</v>
      </c>
      <c r="C45" s="259" t="s">
        <v>16</v>
      </c>
      <c r="D45" s="259" t="s">
        <v>16</v>
      </c>
      <c r="E45" s="259" t="s">
        <v>16</v>
      </c>
      <c r="F45" s="259" t="s">
        <v>16</v>
      </c>
      <c r="G45" s="229"/>
      <c r="H45" s="229"/>
      <c r="I45" s="293" t="s">
        <v>38</v>
      </c>
      <c r="J45" s="259" t="s">
        <v>16</v>
      </c>
      <c r="K45" s="259" t="s">
        <v>16</v>
      </c>
      <c r="L45" s="259" t="s">
        <v>16</v>
      </c>
      <c r="M45" s="259" t="s">
        <v>16</v>
      </c>
      <c r="N45" s="229"/>
      <c r="O45" s="229"/>
      <c r="P45" s="229"/>
      <c r="Q45" s="229"/>
      <c r="R45" s="291"/>
      <c r="S45" s="274"/>
      <c r="T45" s="274"/>
      <c r="U45" s="274"/>
      <c r="V45" s="292"/>
      <c r="W45" s="229"/>
      <c r="X45" s="229"/>
      <c r="Y45" s="229"/>
      <c r="Z45" s="229"/>
      <c r="AA45" s="229"/>
      <c r="AB45" s="229"/>
      <c r="AC45" s="229"/>
      <c r="AD45" s="229"/>
    </row>
    <row r="46" spans="1:30" ht="15.75" hidden="1" customHeight="1" thickTop="1" thickBot="1" x14ac:dyDescent="0.25">
      <c r="A46" s="229"/>
      <c r="B46" s="294" t="s">
        <v>186</v>
      </c>
      <c r="C46" s="266">
        <v>36585.048958874999</v>
      </c>
      <c r="D46" s="266">
        <v>39337.497776249998</v>
      </c>
      <c r="E46" s="266">
        <v>23775.661049957678</v>
      </c>
      <c r="F46" s="266">
        <v>0</v>
      </c>
      <c r="G46" s="229"/>
      <c r="H46" s="229"/>
      <c r="I46" s="294" t="s">
        <v>186</v>
      </c>
      <c r="J46" s="266">
        <v>0</v>
      </c>
      <c r="K46" s="266">
        <v>0</v>
      </c>
      <c r="L46" s="266">
        <v>0</v>
      </c>
      <c r="M46" s="266">
        <v>0</v>
      </c>
      <c r="N46" s="229"/>
      <c r="O46" s="229"/>
      <c r="P46" s="229"/>
      <c r="Q46" s="229"/>
      <c r="R46" s="291"/>
      <c r="S46" s="274"/>
      <c r="T46" s="274"/>
      <c r="U46" s="274"/>
      <c r="V46" s="292"/>
      <c r="W46" s="229"/>
      <c r="X46" s="229"/>
      <c r="Y46" s="229"/>
      <c r="Z46" s="229"/>
      <c r="AA46" s="229"/>
      <c r="AB46" s="229"/>
      <c r="AC46" s="229"/>
      <c r="AD46" s="229"/>
    </row>
    <row r="47" spans="1:30" ht="15.75" hidden="1" customHeight="1" thickTop="1" thickBot="1" x14ac:dyDescent="0.25">
      <c r="A47" s="229"/>
      <c r="B47" s="261" t="s">
        <v>187</v>
      </c>
      <c r="C47" s="266">
        <v>0</v>
      </c>
      <c r="D47" s="266">
        <v>0</v>
      </c>
      <c r="E47" s="266">
        <v>0</v>
      </c>
      <c r="F47" s="266">
        <v>0</v>
      </c>
      <c r="G47" s="229"/>
      <c r="H47" s="229"/>
      <c r="I47" s="261" t="s">
        <v>187</v>
      </c>
      <c r="J47" s="266">
        <v>0</v>
      </c>
      <c r="K47" s="266">
        <v>0</v>
      </c>
      <c r="L47" s="266">
        <v>0</v>
      </c>
      <c r="M47" s="266">
        <v>0</v>
      </c>
      <c r="N47" s="229"/>
      <c r="O47" s="229"/>
      <c r="P47" s="229"/>
      <c r="Q47" s="229"/>
      <c r="R47" s="291"/>
      <c r="S47" s="274"/>
      <c r="T47" s="274"/>
      <c r="U47" s="274"/>
      <c r="V47" s="292"/>
      <c r="W47" s="229"/>
      <c r="X47" s="229"/>
      <c r="Y47" s="229"/>
      <c r="Z47" s="229"/>
      <c r="AA47" s="229"/>
      <c r="AB47" s="229"/>
      <c r="AC47" s="229"/>
      <c r="AD47" s="229"/>
    </row>
    <row r="48" spans="1:30" ht="15.75" hidden="1" customHeight="1" thickTop="1" thickBot="1" x14ac:dyDescent="0.25">
      <c r="A48" s="229"/>
      <c r="B48" s="294" t="s">
        <v>188</v>
      </c>
      <c r="C48" s="266">
        <v>6410.3063425800001</v>
      </c>
      <c r="D48" s="266">
        <v>7001.2022589600001</v>
      </c>
      <c r="E48" s="266">
        <v>0</v>
      </c>
      <c r="F48" s="266">
        <v>0</v>
      </c>
      <c r="G48" s="229"/>
      <c r="H48" s="229"/>
      <c r="I48" s="294" t="s">
        <v>188</v>
      </c>
      <c r="J48" s="266">
        <v>0</v>
      </c>
      <c r="K48" s="266">
        <v>0</v>
      </c>
      <c r="L48" s="266">
        <v>0</v>
      </c>
      <c r="M48" s="266">
        <v>0</v>
      </c>
      <c r="N48" s="229"/>
      <c r="O48" s="229"/>
      <c r="P48" s="229"/>
      <c r="Q48" s="229"/>
      <c r="R48" s="291"/>
      <c r="S48" s="274"/>
      <c r="T48" s="274"/>
      <c r="U48" s="274"/>
      <c r="V48" s="292"/>
      <c r="W48" s="229"/>
      <c r="X48" s="229"/>
      <c r="Y48" s="229"/>
      <c r="Z48" s="229"/>
      <c r="AA48" s="229"/>
      <c r="AB48" s="229"/>
      <c r="AC48" s="229"/>
      <c r="AD48" s="229"/>
    </row>
    <row r="49" spans="1:30" ht="15.75" hidden="1" customHeight="1" thickTop="1" thickBot="1" x14ac:dyDescent="0.25">
      <c r="A49" s="229"/>
      <c r="B49" s="294" t="s">
        <v>189</v>
      </c>
      <c r="C49" s="266">
        <v>163.03442921999999</v>
      </c>
      <c r="D49" s="266">
        <v>88.373864279999992</v>
      </c>
      <c r="E49" s="266">
        <v>0</v>
      </c>
      <c r="F49" s="266">
        <v>0</v>
      </c>
      <c r="G49" s="229"/>
      <c r="H49" s="229"/>
      <c r="I49" s="294" t="s">
        <v>189</v>
      </c>
      <c r="J49" s="266">
        <v>0</v>
      </c>
      <c r="K49" s="266">
        <v>0</v>
      </c>
      <c r="L49" s="266">
        <v>0</v>
      </c>
      <c r="M49" s="266">
        <v>0</v>
      </c>
      <c r="N49" s="229"/>
      <c r="O49" s="229"/>
      <c r="P49" s="229"/>
      <c r="Q49" s="229"/>
      <c r="R49" s="291"/>
      <c r="S49" s="274"/>
      <c r="T49" s="274"/>
      <c r="U49" s="274"/>
      <c r="V49" s="292"/>
      <c r="W49" s="229"/>
      <c r="X49" s="229"/>
      <c r="Y49" s="229"/>
      <c r="Z49" s="229"/>
      <c r="AA49" s="229"/>
      <c r="AB49" s="229"/>
      <c r="AC49" s="229"/>
      <c r="AD49" s="229"/>
    </row>
    <row r="50" spans="1:30" ht="15.75" hidden="1" customHeight="1" thickTop="1" thickBot="1" x14ac:dyDescent="0.25">
      <c r="A50" s="229"/>
      <c r="B50" s="294" t="s">
        <v>190</v>
      </c>
      <c r="C50" s="266">
        <v>0</v>
      </c>
      <c r="D50" s="266">
        <v>295.20941999999997</v>
      </c>
      <c r="E50" s="266">
        <v>0</v>
      </c>
      <c r="F50" s="266">
        <v>0</v>
      </c>
      <c r="G50" s="229"/>
      <c r="H50" s="229"/>
      <c r="I50" s="294" t="s">
        <v>190</v>
      </c>
      <c r="J50" s="266">
        <v>0</v>
      </c>
      <c r="K50" s="266">
        <v>0</v>
      </c>
      <c r="L50" s="266">
        <v>0</v>
      </c>
      <c r="M50" s="266">
        <v>0</v>
      </c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</row>
    <row r="51" spans="1:30" ht="15.75" hidden="1" customHeight="1" thickTop="1" thickBot="1" x14ac:dyDescent="0.25">
      <c r="A51" s="229"/>
      <c r="B51" s="294" t="s">
        <v>191</v>
      </c>
      <c r="C51" s="266">
        <v>33.714086399999999</v>
      </c>
      <c r="D51" s="266">
        <v>34.297997249999995</v>
      </c>
      <c r="E51" s="266">
        <v>0</v>
      </c>
      <c r="F51" s="266">
        <v>0</v>
      </c>
      <c r="G51" s="229"/>
      <c r="H51" s="229"/>
      <c r="I51" s="294" t="s">
        <v>191</v>
      </c>
      <c r="J51" s="266">
        <v>0</v>
      </c>
      <c r="K51" s="266">
        <v>0</v>
      </c>
      <c r="L51" s="266">
        <v>0</v>
      </c>
      <c r="M51" s="266">
        <v>0</v>
      </c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</row>
    <row r="52" spans="1:30" ht="15.75" hidden="1" customHeight="1" thickTop="1" thickBot="1" x14ac:dyDescent="0.25">
      <c r="A52" s="229"/>
      <c r="B52" s="294" t="s">
        <v>192</v>
      </c>
      <c r="C52" s="266">
        <v>847.92174</v>
      </c>
      <c r="D52" s="266">
        <v>1009.0907599999998</v>
      </c>
      <c r="E52" s="266">
        <v>0</v>
      </c>
      <c r="F52" s="266">
        <v>0</v>
      </c>
      <c r="G52" s="229"/>
      <c r="H52" s="229"/>
      <c r="I52" s="294" t="s">
        <v>192</v>
      </c>
      <c r="J52" s="266">
        <v>0</v>
      </c>
      <c r="K52" s="266">
        <v>0</v>
      </c>
      <c r="L52" s="266">
        <v>0</v>
      </c>
      <c r="M52" s="266">
        <v>0</v>
      </c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</row>
    <row r="53" spans="1:30" ht="15.75" hidden="1" customHeight="1" thickTop="1" thickBot="1" x14ac:dyDescent="0.25">
      <c r="A53" s="229"/>
      <c r="B53" s="273" t="s">
        <v>29</v>
      </c>
      <c r="C53" s="266">
        <v>49861.156410000003</v>
      </c>
      <c r="D53" s="266">
        <v>40697.748</v>
      </c>
      <c r="E53" s="266">
        <v>9108.5507999999991</v>
      </c>
      <c r="F53" s="266">
        <v>0</v>
      </c>
      <c r="G53" s="229"/>
      <c r="H53" s="229"/>
      <c r="I53" s="273" t="s">
        <v>29</v>
      </c>
      <c r="J53" s="266">
        <v>0</v>
      </c>
      <c r="K53" s="266">
        <v>0</v>
      </c>
      <c r="L53" s="266">
        <v>0</v>
      </c>
      <c r="M53" s="266">
        <v>0</v>
      </c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</row>
    <row r="54" spans="1:30" ht="15.75" hidden="1" customHeight="1" thickTop="1" thickBot="1" x14ac:dyDescent="0.25">
      <c r="A54" s="229"/>
      <c r="B54" s="273" t="s">
        <v>28</v>
      </c>
      <c r="C54" s="266">
        <v>3627.8459999999995</v>
      </c>
      <c r="D54" s="266">
        <v>5989.0536000000002</v>
      </c>
      <c r="E54" s="266">
        <v>24364.180800000002</v>
      </c>
      <c r="F54" s="266">
        <v>0</v>
      </c>
      <c r="G54" s="229"/>
      <c r="H54" s="229"/>
      <c r="I54" s="273" t="s">
        <v>28</v>
      </c>
      <c r="J54" s="266">
        <v>0</v>
      </c>
      <c r="K54" s="266">
        <v>0</v>
      </c>
      <c r="L54" s="266">
        <v>0</v>
      </c>
      <c r="M54" s="266">
        <v>0</v>
      </c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</row>
    <row r="55" spans="1:30" ht="36" hidden="1" customHeight="1" thickTop="1" thickBot="1" x14ac:dyDescent="0.25">
      <c r="A55" s="229"/>
      <c r="B55" s="273" t="s">
        <v>199</v>
      </c>
      <c r="C55" s="266">
        <v>0</v>
      </c>
      <c r="D55" s="266">
        <v>0</v>
      </c>
      <c r="E55" s="266">
        <v>0</v>
      </c>
      <c r="F55" s="266">
        <v>0</v>
      </c>
      <c r="G55" s="229"/>
      <c r="H55" s="229"/>
      <c r="I55" s="273" t="s">
        <v>199</v>
      </c>
      <c r="J55" s="266">
        <v>0</v>
      </c>
      <c r="K55" s="266">
        <v>0</v>
      </c>
      <c r="L55" s="266">
        <v>0</v>
      </c>
      <c r="M55" s="266">
        <v>0</v>
      </c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79"/>
    </row>
    <row r="56" spans="1:30" ht="15.75" hidden="1" customHeight="1" thickTop="1" thickBot="1" x14ac:dyDescent="0.25">
      <c r="A56" s="229"/>
      <c r="B56" s="273" t="s">
        <v>97</v>
      </c>
      <c r="C56" s="266">
        <v>6.4350989999999992</v>
      </c>
      <c r="D56" s="266">
        <v>0</v>
      </c>
      <c r="E56" s="266">
        <v>0</v>
      </c>
      <c r="F56" s="266">
        <v>0</v>
      </c>
      <c r="G56" s="229"/>
      <c r="H56" s="229"/>
      <c r="I56" s="273" t="s">
        <v>97</v>
      </c>
      <c r="J56" s="266">
        <v>0</v>
      </c>
      <c r="K56" s="266">
        <v>0</v>
      </c>
      <c r="L56" s="266">
        <v>0</v>
      </c>
      <c r="M56" s="266">
        <v>0</v>
      </c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79"/>
    </row>
    <row r="57" spans="1:30" ht="15.75" hidden="1" customHeight="1" thickTop="1" thickBot="1" x14ac:dyDescent="0.25">
      <c r="A57" s="229"/>
      <c r="B57" s="273" t="s">
        <v>193</v>
      </c>
      <c r="C57" s="266">
        <v>23024</v>
      </c>
      <c r="D57" s="266">
        <v>19664.900000000001</v>
      </c>
      <c r="E57" s="266">
        <v>0</v>
      </c>
      <c r="F57" s="266">
        <v>0</v>
      </c>
      <c r="G57" s="229"/>
      <c r="H57" s="229"/>
      <c r="I57" s="273" t="s">
        <v>193</v>
      </c>
      <c r="J57" s="266">
        <v>0</v>
      </c>
      <c r="K57" s="266">
        <v>0</v>
      </c>
      <c r="L57" s="266">
        <v>0</v>
      </c>
      <c r="M57" s="266">
        <v>0</v>
      </c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79"/>
    </row>
    <row r="58" spans="1:30" ht="15.75" hidden="1" customHeight="1" thickBot="1" x14ac:dyDescent="0.25">
      <c r="A58" s="229"/>
      <c r="B58" s="275" t="s">
        <v>194</v>
      </c>
      <c r="C58" s="276">
        <f>SUM(C46:C57)</f>
        <v>120559.46306607501</v>
      </c>
      <c r="D58" s="276">
        <f t="shared" ref="D58:F58" si="17">SUM(D46:D57)</f>
        <v>114117.37367674001</v>
      </c>
      <c r="E58" s="276">
        <f t="shared" si="17"/>
        <v>57248.392649957677</v>
      </c>
      <c r="F58" s="276">
        <f t="shared" si="17"/>
        <v>0</v>
      </c>
      <c r="G58" s="229"/>
      <c r="H58" s="229"/>
      <c r="I58" s="275" t="s">
        <v>47</v>
      </c>
      <c r="J58" s="276">
        <f>SUM(J46:J57)</f>
        <v>0</v>
      </c>
      <c r="K58" s="276">
        <f t="shared" ref="K58:M58" si="18">SUM(K46:K57)</f>
        <v>0</v>
      </c>
      <c r="L58" s="276">
        <f t="shared" si="18"/>
        <v>0</v>
      </c>
      <c r="M58" s="276">
        <f t="shared" si="18"/>
        <v>0</v>
      </c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79"/>
    </row>
    <row r="59" spans="1:30" ht="15.75" hidden="1" customHeight="1" thickTop="1" x14ac:dyDescent="0.2">
      <c r="A59" s="229"/>
      <c r="B59" s="229"/>
      <c r="C59" s="268"/>
      <c r="D59" s="268"/>
      <c r="E59" s="268"/>
      <c r="F59" s="268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79"/>
    </row>
    <row r="60" spans="1:30" ht="15.75" hidden="1" customHeight="1" x14ac:dyDescent="0.2">
      <c r="A60" s="229"/>
      <c r="B60" s="267"/>
      <c r="C60" s="268"/>
      <c r="D60" s="268"/>
      <c r="E60" s="268"/>
      <c r="F60" s="268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79"/>
    </row>
    <row r="61" spans="1:30" ht="15.75" hidden="1" customHeight="1" x14ac:dyDescent="0.2">
      <c r="A61" s="229"/>
      <c r="B61" s="295" t="e">
        <f xml:space="preserve"> "Figuur E2. Voortgang Energieverbruik " &amp;#REF!</f>
        <v>#REF!</v>
      </c>
      <c r="C61" s="268"/>
      <c r="D61" s="268"/>
      <c r="E61" s="268"/>
      <c r="F61" s="268"/>
      <c r="G61" s="229"/>
      <c r="H61" s="229"/>
      <c r="I61" s="295" t="str">
        <f xml:space="preserve"> "Figuur E2. Voortgang Energieverbruik " &amp; J6</f>
        <v>Figuur E2. Voortgang Energieverbruik RWZI</v>
      </c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79"/>
    </row>
    <row r="62" spans="1:30" ht="15.75" hidden="1" customHeight="1" x14ac:dyDescent="0.2">
      <c r="A62" s="229"/>
      <c r="B62" s="233"/>
      <c r="C62" s="268"/>
      <c r="D62" s="268"/>
      <c r="E62" s="268"/>
      <c r="F62" s="268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79"/>
    </row>
    <row r="63" spans="1:30" ht="15.75" hidden="1" customHeight="1" x14ac:dyDescent="0.2">
      <c r="A63" s="229"/>
      <c r="B63" s="233"/>
      <c r="C63" s="268"/>
      <c r="D63" s="268"/>
      <c r="E63" s="268"/>
      <c r="F63" s="268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</row>
    <row r="64" spans="1:30" ht="15.75" hidden="1" customHeight="1" x14ac:dyDescent="0.2">
      <c r="A64" s="229"/>
      <c r="B64" s="28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</row>
    <row r="65" spans="1:30" ht="15.75" hidden="1" customHeight="1" x14ac:dyDescent="0.2">
      <c r="A65" s="229"/>
      <c r="B65" s="28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</row>
    <row r="66" spans="1:30" ht="15.75" hidden="1" customHeight="1" x14ac:dyDescent="0.2">
      <c r="A66" s="229"/>
      <c r="B66" s="291"/>
      <c r="C66" s="274"/>
      <c r="D66" s="274"/>
      <c r="E66" s="274"/>
      <c r="F66" s="274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</row>
    <row r="67" spans="1:30" ht="15.75" hidden="1" customHeight="1" x14ac:dyDescent="0.2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</row>
    <row r="68" spans="1:30" ht="15.75" hidden="1" customHeight="1" x14ac:dyDescent="0.2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</row>
    <row r="69" spans="1:30" ht="15.75" hidden="1" customHeight="1" x14ac:dyDescent="0.2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</row>
    <row r="70" spans="1:30" ht="15.75" hidden="1" customHeight="1" x14ac:dyDescent="0.2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</row>
    <row r="71" spans="1:30" ht="15.75" hidden="1" customHeight="1" x14ac:dyDescent="0.2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</row>
    <row r="72" spans="1:30" ht="15.75" hidden="1" customHeight="1" x14ac:dyDescent="0.2">
      <c r="A72" s="229"/>
      <c r="B72" s="350"/>
      <c r="C72" s="351"/>
      <c r="D72" s="233"/>
      <c r="E72" s="233"/>
      <c r="F72" s="233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</row>
    <row r="73" spans="1:30" ht="15.75" hidden="1" customHeight="1" x14ac:dyDescent="0.2">
      <c r="A73" s="229"/>
      <c r="B73" s="235"/>
      <c r="C73" s="235"/>
      <c r="D73" s="235"/>
      <c r="E73" s="235"/>
      <c r="F73" s="235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</row>
    <row r="74" spans="1:30" ht="15.75" hidden="1" customHeight="1" x14ac:dyDescent="0.2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</row>
    <row r="75" spans="1:30" ht="15.75" hidden="1" customHeight="1" x14ac:dyDescent="0.2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</row>
    <row r="76" spans="1:30" ht="15.75" hidden="1" customHeight="1" thickBot="1" x14ac:dyDescent="0.25">
      <c r="A76" s="229"/>
      <c r="B76" s="229"/>
      <c r="C76" s="229"/>
      <c r="D76" s="229"/>
      <c r="E76" s="229"/>
      <c r="F76" s="229"/>
      <c r="G76" s="229"/>
      <c r="H76" s="229"/>
      <c r="I76" s="289"/>
      <c r="J76" s="229"/>
      <c r="K76" s="274"/>
      <c r="L76" s="274"/>
      <c r="M76" s="274"/>
      <c r="N76" s="274"/>
      <c r="O76" s="274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</row>
    <row r="77" spans="1:30" ht="15.75" hidden="1" customHeight="1" thickTop="1" thickBot="1" x14ac:dyDescent="0.25">
      <c r="A77" s="229"/>
      <c r="B77" s="296" t="s">
        <v>200</v>
      </c>
      <c r="C77" s="251"/>
      <c r="D77" s="251"/>
      <c r="E77" s="251"/>
      <c r="F77" s="251"/>
      <c r="G77" s="229"/>
      <c r="H77" s="229"/>
      <c r="I77" s="348" t="str">
        <f xml:space="preserve"> "Tabel EV2A. VOORTGANG ENERGIEVERBRUIK, " &amp;UPPER(J6)</f>
        <v>Tabel EV2A. VOORTGANG ENERGIEVERBRUIK, RWZI</v>
      </c>
      <c r="J77" s="349"/>
      <c r="K77" s="349"/>
      <c r="L77" s="349"/>
      <c r="M77" s="349"/>
      <c r="N77" s="251"/>
      <c r="O77" s="251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</row>
    <row r="78" spans="1:30" ht="15.75" hidden="1" customHeight="1" thickTop="1" thickBot="1" x14ac:dyDescent="0.25">
      <c r="A78" s="229"/>
      <c r="B78" s="297"/>
      <c r="C78" s="298">
        <v>2019</v>
      </c>
      <c r="D78" s="298">
        <f t="shared" ref="D78:F78" si="19">C78+1</f>
        <v>2020</v>
      </c>
      <c r="E78" s="298">
        <f>D78+1</f>
        <v>2021</v>
      </c>
      <c r="F78" s="298">
        <f t="shared" si="19"/>
        <v>2022</v>
      </c>
      <c r="G78" s="229"/>
      <c r="H78" s="229"/>
      <c r="I78" s="297"/>
      <c r="J78" s="298">
        <v>2019</v>
      </c>
      <c r="K78" s="298">
        <f t="shared" ref="K78:M78" si="20">+J78+1</f>
        <v>2020</v>
      </c>
      <c r="L78" s="298">
        <f t="shared" si="20"/>
        <v>2021</v>
      </c>
      <c r="M78" s="298">
        <f t="shared" si="20"/>
        <v>2022</v>
      </c>
      <c r="N78" s="251"/>
      <c r="O78" s="251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</row>
    <row r="79" spans="1:30" ht="15.75" hidden="1" customHeight="1" thickTop="1" thickBot="1" x14ac:dyDescent="0.25">
      <c r="A79" s="229"/>
      <c r="B79" s="299"/>
      <c r="C79" s="259" t="s">
        <v>16</v>
      </c>
      <c r="D79" s="259" t="s">
        <v>16</v>
      </c>
      <c r="E79" s="259" t="s">
        <v>16</v>
      </c>
      <c r="F79" s="259" t="s">
        <v>16</v>
      </c>
      <c r="G79" s="229"/>
      <c r="H79" s="229"/>
      <c r="I79" s="299"/>
      <c r="J79" s="259" t="s">
        <v>16</v>
      </c>
      <c r="K79" s="259" t="s">
        <v>16</v>
      </c>
      <c r="L79" s="259" t="s">
        <v>16</v>
      </c>
      <c r="M79" s="259" t="s">
        <v>16</v>
      </c>
      <c r="N79" s="251"/>
      <c r="O79" s="251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</row>
    <row r="80" spans="1:30" ht="15.75" hidden="1" customHeight="1" thickTop="1" thickBot="1" x14ac:dyDescent="0.25">
      <c r="A80" s="229"/>
      <c r="B80" s="300" t="s">
        <v>22</v>
      </c>
      <c r="C80" s="301">
        <f>C58/$C$58</f>
        <v>1</v>
      </c>
      <c r="D80" s="301">
        <f>D58/$C$58</f>
        <v>0.94656504578322243</v>
      </c>
      <c r="E80" s="301">
        <f>E58/$C$58</f>
        <v>0.4748560684828329</v>
      </c>
      <c r="F80" s="301">
        <f>F58/$C$58</f>
        <v>0</v>
      </c>
      <c r="G80" s="229"/>
      <c r="H80" s="229"/>
      <c r="I80" s="300" t="s">
        <v>22</v>
      </c>
      <c r="J80" s="301" t="e">
        <f>J58/$J$58</f>
        <v>#DIV/0!</v>
      </c>
      <c r="K80" s="301" t="e">
        <f t="shared" ref="K80:M80" si="21">K58/$J$58</f>
        <v>#DIV/0!</v>
      </c>
      <c r="L80" s="301" t="e">
        <f t="shared" si="21"/>
        <v>#DIV/0!</v>
      </c>
      <c r="M80" s="301" t="e">
        <f t="shared" si="21"/>
        <v>#DIV/0!</v>
      </c>
      <c r="N80" s="251"/>
      <c r="O80" s="251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</row>
    <row r="81" spans="1:30" ht="15.75" hidden="1" customHeight="1" thickTop="1" thickBot="1" x14ac:dyDescent="0.25">
      <c r="A81" s="229"/>
      <c r="B81" s="302" t="s">
        <v>21</v>
      </c>
      <c r="C81" s="303">
        <v>1</v>
      </c>
      <c r="D81" s="303">
        <v>1</v>
      </c>
      <c r="E81" s="303">
        <v>1</v>
      </c>
      <c r="F81" s="303">
        <v>1</v>
      </c>
      <c r="G81" s="229"/>
      <c r="H81" s="229"/>
      <c r="I81" s="302" t="s">
        <v>21</v>
      </c>
      <c r="J81" s="303">
        <v>1</v>
      </c>
      <c r="K81" s="303">
        <v>1</v>
      </c>
      <c r="L81" s="303">
        <v>1</v>
      </c>
      <c r="M81" s="303">
        <v>1</v>
      </c>
      <c r="N81" s="251"/>
      <c r="O81" s="251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</row>
    <row r="82" spans="1:30" ht="15.75" hidden="1" customHeight="1" thickTop="1" thickBot="1" x14ac:dyDescent="0.25">
      <c r="A82" s="229"/>
      <c r="B82" s="304" t="s">
        <v>201</v>
      </c>
      <c r="C82" s="305">
        <v>677984480</v>
      </c>
      <c r="D82" s="305">
        <v>686261823</v>
      </c>
      <c r="E82" s="305">
        <v>810130</v>
      </c>
      <c r="F82" s="305">
        <v>0</v>
      </c>
      <c r="G82" s="229"/>
      <c r="H82" s="229"/>
      <c r="I82" s="304" t="s">
        <v>201</v>
      </c>
      <c r="J82" s="305">
        <v>0</v>
      </c>
      <c r="K82" s="305">
        <v>0</v>
      </c>
      <c r="L82" s="305">
        <v>0</v>
      </c>
      <c r="M82" s="305">
        <v>0</v>
      </c>
      <c r="N82" s="251"/>
      <c r="O82" s="251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</row>
    <row r="83" spans="1:30" ht="15.75" hidden="1" customHeight="1" thickTop="1" thickBot="1" x14ac:dyDescent="0.25">
      <c r="A83" s="229"/>
      <c r="B83" s="238" t="s">
        <v>202</v>
      </c>
      <c r="C83" s="306">
        <f>IFERROR(C58/C82,"")</f>
        <v>1.7782038766739176E-4</v>
      </c>
      <c r="D83" s="306">
        <f t="shared" ref="D83:F83" si="22">IFERROR(D58/D82,"")</f>
        <v>1.6628839001691051E-4</v>
      </c>
      <c r="E83" s="306">
        <f t="shared" si="22"/>
        <v>7.0665686556426355E-2</v>
      </c>
      <c r="F83" s="306" t="str">
        <f t="shared" si="22"/>
        <v/>
      </c>
      <c r="G83" s="229"/>
      <c r="H83" s="229"/>
      <c r="I83" s="238" t="s">
        <v>203</v>
      </c>
      <c r="J83" s="306" t="str">
        <f>IFERROR(J58/J82,"")</f>
        <v/>
      </c>
      <c r="K83" s="306" t="str">
        <f t="shared" ref="K83:M83" si="23">IFERROR(K58/K82,"")</f>
        <v/>
      </c>
      <c r="L83" s="306" t="str">
        <f t="shared" si="23"/>
        <v/>
      </c>
      <c r="M83" s="306" t="str">
        <f t="shared" si="23"/>
        <v/>
      </c>
      <c r="N83" s="251"/>
      <c r="O83" s="251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</row>
    <row r="84" spans="1:30" ht="15.75" hidden="1" customHeight="1" thickTop="1" thickBot="1" x14ac:dyDescent="0.25">
      <c r="A84" s="229"/>
      <c r="B84" s="302" t="s">
        <v>204</v>
      </c>
      <c r="C84" s="307">
        <f>IFERROR(C83/$C$83,"")</f>
        <v>1</v>
      </c>
      <c r="D84" s="307">
        <f>IFERROR(D83/$C$83,"")</f>
        <v>0.93514805697054526</v>
      </c>
      <c r="E84" s="307">
        <f>IFERROR(E83/$C$83,"")</f>
        <v>397.39923798054372</v>
      </c>
      <c r="F84" s="307" t="str">
        <f>IFERROR(F83/$C$83,"")</f>
        <v/>
      </c>
      <c r="G84" s="229"/>
      <c r="H84" s="229"/>
      <c r="I84" s="302" t="s">
        <v>204</v>
      </c>
      <c r="J84" s="307" t="str">
        <f>IFERROR(J83/$J$83,"")</f>
        <v/>
      </c>
      <c r="K84" s="307" t="str">
        <f t="shared" ref="K84:M84" si="24">IFERROR(K83/$J$83,"")</f>
        <v/>
      </c>
      <c r="L84" s="307" t="str">
        <f t="shared" si="24"/>
        <v/>
      </c>
      <c r="M84" s="307" t="str">
        <f t="shared" si="24"/>
        <v/>
      </c>
      <c r="N84" s="251"/>
      <c r="O84" s="251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</row>
    <row r="85" spans="1:30" ht="15.75" hidden="1" customHeight="1" thickTop="1" thickBot="1" x14ac:dyDescent="0.25">
      <c r="A85" s="229"/>
      <c r="B85" s="304" t="s">
        <v>205</v>
      </c>
      <c r="C85" s="305">
        <v>0</v>
      </c>
      <c r="D85" s="305">
        <v>0</v>
      </c>
      <c r="E85" s="305">
        <v>0</v>
      </c>
      <c r="F85" s="305">
        <v>0</v>
      </c>
      <c r="G85" s="229"/>
      <c r="H85" s="229"/>
      <c r="I85" s="304" t="s">
        <v>206</v>
      </c>
      <c r="J85" s="305">
        <v>3622.02</v>
      </c>
      <c r="K85" s="305">
        <v>3701.21</v>
      </c>
      <c r="L85" s="305">
        <v>32.64</v>
      </c>
      <c r="M85" s="305">
        <v>0</v>
      </c>
      <c r="N85" s="251"/>
      <c r="O85" s="251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</row>
    <row r="86" spans="1:30" ht="15.75" hidden="1" customHeight="1" thickTop="1" thickBot="1" x14ac:dyDescent="0.25">
      <c r="A86" s="229"/>
      <c r="B86" s="238" t="s">
        <v>203</v>
      </c>
      <c r="C86" s="306" t="str">
        <f>IFERROR(C58/C85,"")</f>
        <v/>
      </c>
      <c r="D86" s="306" t="str">
        <f t="shared" ref="D86:F86" si="25">IFERROR(D58/D85,"")</f>
        <v/>
      </c>
      <c r="E86" s="306" t="str">
        <f t="shared" si="25"/>
        <v/>
      </c>
      <c r="F86" s="306" t="str">
        <f t="shared" si="25"/>
        <v/>
      </c>
      <c r="G86" s="229"/>
      <c r="H86" s="229"/>
      <c r="I86" s="238" t="s">
        <v>203</v>
      </c>
      <c r="J86" s="306">
        <f>IFERROR(J58/J85,"")</f>
        <v>0</v>
      </c>
      <c r="K86" s="306">
        <f t="shared" ref="K86:M86" si="26">IFERROR(K58/K85,"")</f>
        <v>0</v>
      </c>
      <c r="L86" s="306">
        <f t="shared" si="26"/>
        <v>0</v>
      </c>
      <c r="M86" s="306" t="str">
        <f t="shared" si="26"/>
        <v/>
      </c>
      <c r="N86" s="251"/>
      <c r="O86" s="251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</row>
    <row r="87" spans="1:30" ht="15.75" hidden="1" customHeight="1" thickTop="1" thickBot="1" x14ac:dyDescent="0.25">
      <c r="A87" s="229"/>
      <c r="B87" s="302" t="s">
        <v>207</v>
      </c>
      <c r="C87" s="307" t="str">
        <f>IFERROR(C86/$C$86,"")</f>
        <v/>
      </c>
      <c r="D87" s="307" t="str">
        <f>IFERROR(D86/$C$86,"")</f>
        <v/>
      </c>
      <c r="E87" s="307" t="str">
        <f>IFERROR(E86/$C$86,"")</f>
        <v/>
      </c>
      <c r="F87" s="307" t="str">
        <f>IFERROR(F86/$C$86,"")</f>
        <v/>
      </c>
      <c r="G87" s="229"/>
      <c r="H87" s="229"/>
      <c r="I87" s="302" t="s">
        <v>207</v>
      </c>
      <c r="J87" s="307" t="str">
        <f>IFERROR(J86/$J$86,"")</f>
        <v/>
      </c>
      <c r="K87" s="307" t="str">
        <f t="shared" ref="K87:M87" si="27">IFERROR(K86/$J$86,"")</f>
        <v/>
      </c>
      <c r="L87" s="307" t="str">
        <f t="shared" si="27"/>
        <v/>
      </c>
      <c r="M87" s="307" t="str">
        <f t="shared" si="27"/>
        <v/>
      </c>
      <c r="N87" s="251"/>
      <c r="O87" s="251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</row>
    <row r="88" spans="1:30" ht="15.75" hidden="1" customHeight="1" thickTop="1" thickBot="1" x14ac:dyDescent="0.25">
      <c r="A88" s="229"/>
      <c r="B88" s="304" t="s">
        <v>208</v>
      </c>
      <c r="C88" s="305">
        <v>0</v>
      </c>
      <c r="D88" s="305">
        <v>0</v>
      </c>
      <c r="E88" s="305">
        <v>0</v>
      </c>
      <c r="F88" s="305">
        <v>0</v>
      </c>
      <c r="G88" s="229"/>
      <c r="H88" s="229"/>
      <c r="I88" s="304" t="s">
        <v>208</v>
      </c>
      <c r="J88" s="305"/>
      <c r="K88" s="305"/>
      <c r="L88" s="305"/>
      <c r="M88" s="305"/>
      <c r="N88" s="251"/>
      <c r="O88" s="251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</row>
    <row r="89" spans="1:30" ht="15.75" hidden="1" customHeight="1" thickTop="1" thickBot="1" x14ac:dyDescent="0.25">
      <c r="A89" s="229"/>
      <c r="B89" s="238" t="s">
        <v>203</v>
      </c>
      <c r="C89" s="306" t="str">
        <f>IFERROR(C58/C88,"")</f>
        <v/>
      </c>
      <c r="D89" s="306" t="str">
        <f t="shared" ref="D89:F89" si="28">IFERROR(D58/D88,"")</f>
        <v/>
      </c>
      <c r="E89" s="306" t="str">
        <f t="shared" si="28"/>
        <v/>
      </c>
      <c r="F89" s="306" t="str">
        <f t="shared" si="28"/>
        <v/>
      </c>
      <c r="G89" s="229"/>
      <c r="H89" s="229"/>
      <c r="I89" s="238" t="s">
        <v>203</v>
      </c>
      <c r="J89" s="306" t="str">
        <f>IFERROR(J58/J88,"")</f>
        <v/>
      </c>
      <c r="K89" s="306" t="str">
        <f t="shared" ref="K89:M89" si="29">IFERROR(K58/K88,"")</f>
        <v/>
      </c>
      <c r="L89" s="306" t="str">
        <f t="shared" si="29"/>
        <v/>
      </c>
      <c r="M89" s="306" t="str">
        <f t="shared" si="29"/>
        <v/>
      </c>
      <c r="N89" s="251"/>
      <c r="O89" s="251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</row>
    <row r="90" spans="1:30" ht="15.75" hidden="1" customHeight="1" thickTop="1" thickBot="1" x14ac:dyDescent="0.25">
      <c r="A90" s="229"/>
      <c r="B90" s="302" t="s">
        <v>209</v>
      </c>
      <c r="C90" s="307" t="str">
        <f>IFERROR(C89/$C$79,"")</f>
        <v/>
      </c>
      <c r="D90" s="307" t="str">
        <f>IFERROR(D89/$C$79,"")</f>
        <v/>
      </c>
      <c r="E90" s="307" t="str">
        <f>IFERROR(E89/$C$79,"")</f>
        <v/>
      </c>
      <c r="F90" s="307" t="str">
        <f>IFERROR(F89/$C$79,"")</f>
        <v/>
      </c>
      <c r="G90" s="229"/>
      <c r="H90" s="229"/>
      <c r="I90" s="302" t="s">
        <v>209</v>
      </c>
      <c r="J90" s="307" t="str">
        <f>IFERROR(J89/$J$89,"")</f>
        <v/>
      </c>
      <c r="K90" s="307" t="str">
        <f t="shared" ref="K90:M90" si="30">IFERROR(K89/$J$89,"")</f>
        <v/>
      </c>
      <c r="L90" s="307" t="str">
        <f t="shared" si="30"/>
        <v/>
      </c>
      <c r="M90" s="307" t="str">
        <f t="shared" si="30"/>
        <v/>
      </c>
      <c r="N90" s="251"/>
      <c r="O90" s="251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</row>
    <row r="91" spans="1:30" ht="15.75" hidden="1" customHeight="1" thickTop="1" thickBot="1" x14ac:dyDescent="0.25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51"/>
      <c r="O91" s="251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</row>
    <row r="92" spans="1:30" ht="15.75" customHeight="1" thickTop="1" thickBot="1" x14ac:dyDescent="0.25">
      <c r="A92" s="229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51"/>
      <c r="O92" s="251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</row>
    <row r="93" spans="1:30" ht="15.75" customHeight="1" thickTop="1" x14ac:dyDescent="0.2">
      <c r="A93" s="229"/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51"/>
      <c r="O93" s="251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</row>
    <row r="94" spans="1:30" ht="15.75" customHeight="1" x14ac:dyDescent="0.2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</row>
    <row r="95" spans="1:30" ht="15.75" customHeight="1" x14ac:dyDescent="0.2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</row>
    <row r="96" spans="1:30" ht="15.75" customHeight="1" x14ac:dyDescent="0.2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</row>
    <row r="97" spans="1:30" ht="15.75" customHeight="1" x14ac:dyDescent="0.2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</row>
    <row r="98" spans="1:30" ht="15.75" customHeight="1" x14ac:dyDescent="0.2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</row>
    <row r="99" spans="1:30" ht="15.75" customHeight="1" x14ac:dyDescent="0.2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</row>
    <row r="100" spans="1:30" ht="15.75" customHeight="1" x14ac:dyDescent="0.2">
      <c r="A100" s="229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</row>
    <row r="101" spans="1:30" ht="15.75" customHeight="1" x14ac:dyDescent="0.2">
      <c r="A101" s="229"/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</row>
    <row r="102" spans="1:30" ht="15.75" customHeight="1" x14ac:dyDescent="0.2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</row>
    <row r="103" spans="1:30" ht="15.75" customHeight="1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</row>
    <row r="104" spans="1:30" ht="15.75" customHeight="1" x14ac:dyDescent="0.2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</row>
    <row r="105" spans="1:30" ht="15.75" customHeight="1" x14ac:dyDescent="0.2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</row>
    <row r="106" spans="1:30" ht="15.75" customHeight="1" x14ac:dyDescent="0.2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</row>
    <row r="107" spans="1:30" ht="15.75" customHeight="1" x14ac:dyDescent="0.2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</row>
    <row r="108" spans="1:30" ht="15.75" customHeight="1" x14ac:dyDescent="0.2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</row>
    <row r="109" spans="1:30" ht="15.75" customHeight="1" x14ac:dyDescent="0.2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</row>
    <row r="110" spans="1:30" ht="15.75" customHeight="1" x14ac:dyDescent="0.2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</row>
    <row r="111" spans="1:30" ht="15.75" customHeight="1" x14ac:dyDescent="0.2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</row>
    <row r="112" spans="1:30" ht="15.75" customHeight="1" x14ac:dyDescent="0.2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</row>
    <row r="113" spans="1:30" ht="15.75" customHeight="1" x14ac:dyDescent="0.2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</row>
    <row r="114" spans="1:30" ht="15.75" customHeight="1" x14ac:dyDescent="0.2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</row>
    <row r="115" spans="1:30" ht="15.75" customHeight="1" x14ac:dyDescent="0.2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</row>
    <row r="116" spans="1:30" ht="15.75" customHeight="1" x14ac:dyDescent="0.2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</row>
    <row r="117" spans="1:30" ht="15.75" customHeight="1" x14ac:dyDescent="0.2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</row>
    <row r="118" spans="1:30" ht="15.75" customHeight="1" x14ac:dyDescent="0.2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</row>
    <row r="119" spans="1:30" ht="15.75" customHeight="1" x14ac:dyDescent="0.2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</row>
    <row r="120" spans="1:30" ht="15.75" customHeight="1" x14ac:dyDescent="0.2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</row>
    <row r="121" spans="1:30" ht="15.75" customHeight="1" x14ac:dyDescent="0.2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</row>
    <row r="122" spans="1:30" ht="15.75" customHeight="1" x14ac:dyDescent="0.2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</row>
    <row r="123" spans="1:30" ht="15.75" customHeight="1" x14ac:dyDescent="0.2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</row>
    <row r="124" spans="1:30" ht="15.75" customHeight="1" x14ac:dyDescent="0.2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</row>
    <row r="125" spans="1:30" ht="15.75" customHeight="1" x14ac:dyDescent="0.2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</row>
    <row r="126" spans="1:30" ht="15.75" customHeight="1" x14ac:dyDescent="0.2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</row>
    <row r="127" spans="1:30" ht="15.75" customHeight="1" x14ac:dyDescent="0.2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</row>
    <row r="128" spans="1:30" ht="15.75" customHeight="1" x14ac:dyDescent="0.2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</row>
    <row r="129" spans="1:30" ht="15.75" customHeight="1" x14ac:dyDescent="0.2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</row>
    <row r="130" spans="1:30" ht="15.75" customHeight="1" x14ac:dyDescent="0.2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</row>
    <row r="131" spans="1:30" ht="15.75" customHeight="1" x14ac:dyDescent="0.2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</row>
    <row r="132" spans="1:30" ht="15.75" customHeight="1" x14ac:dyDescent="0.2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</row>
    <row r="133" spans="1:30" ht="15.75" customHeight="1" x14ac:dyDescent="0.2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</row>
    <row r="134" spans="1:30" ht="15.75" customHeight="1" x14ac:dyDescent="0.2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</row>
    <row r="135" spans="1:30" ht="15.75" customHeight="1" x14ac:dyDescent="0.2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</row>
    <row r="136" spans="1:30" ht="15.75" customHeight="1" x14ac:dyDescent="0.2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</row>
    <row r="137" spans="1:30" ht="15.75" customHeight="1" x14ac:dyDescent="0.2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</row>
    <row r="138" spans="1:30" ht="15.75" customHeight="1" x14ac:dyDescent="0.2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</row>
    <row r="139" spans="1:30" ht="15.75" customHeight="1" x14ac:dyDescent="0.2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</row>
    <row r="140" spans="1:30" ht="15.75" customHeight="1" x14ac:dyDescent="0.2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</row>
    <row r="141" spans="1:30" ht="15.75" customHeight="1" x14ac:dyDescent="0.2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</row>
    <row r="142" spans="1:30" ht="15.75" customHeight="1" x14ac:dyDescent="0.2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</row>
    <row r="143" spans="1:30" ht="15.75" customHeight="1" x14ac:dyDescent="0.2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</row>
    <row r="144" spans="1:30" ht="15.75" customHeight="1" x14ac:dyDescent="0.2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</row>
    <row r="145" spans="1:30" ht="15.75" customHeight="1" x14ac:dyDescent="0.2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</row>
    <row r="146" spans="1:30" ht="15.75" customHeight="1" x14ac:dyDescent="0.2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</row>
    <row r="147" spans="1:30" ht="15.75" customHeight="1" x14ac:dyDescent="0.2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</row>
    <row r="148" spans="1:30" ht="15.75" customHeight="1" x14ac:dyDescent="0.2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</row>
    <row r="149" spans="1:30" ht="15.75" customHeight="1" x14ac:dyDescent="0.2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</row>
    <row r="150" spans="1:30" ht="15.75" customHeight="1" x14ac:dyDescent="0.2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</row>
    <row r="151" spans="1:30" ht="15.75" customHeight="1" x14ac:dyDescent="0.2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</row>
    <row r="152" spans="1:30" ht="15.75" customHeight="1" x14ac:dyDescent="0.2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</row>
    <row r="153" spans="1:30" ht="15.75" customHeight="1" x14ac:dyDescent="0.2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</row>
    <row r="154" spans="1:30" ht="15.75" customHeight="1" x14ac:dyDescent="0.2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</row>
    <row r="155" spans="1:30" ht="15.75" customHeight="1" x14ac:dyDescent="0.2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</row>
    <row r="156" spans="1:30" ht="15.75" customHeight="1" x14ac:dyDescent="0.2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</row>
    <row r="157" spans="1:30" ht="15.75" customHeight="1" x14ac:dyDescent="0.2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</row>
    <row r="158" spans="1:30" ht="15.75" customHeight="1" x14ac:dyDescent="0.2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</row>
    <row r="159" spans="1:30" ht="15.75" customHeight="1" x14ac:dyDescent="0.2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</row>
    <row r="160" spans="1:30" ht="15.75" customHeight="1" x14ac:dyDescent="0.2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</row>
    <row r="161" spans="1:30" ht="15.75" customHeight="1" x14ac:dyDescent="0.2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</row>
    <row r="162" spans="1:30" ht="15.75" customHeight="1" x14ac:dyDescent="0.2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</row>
    <row r="163" spans="1:30" ht="15.75" customHeight="1" x14ac:dyDescent="0.2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</row>
    <row r="164" spans="1:30" ht="15.75" customHeight="1" x14ac:dyDescent="0.2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</row>
    <row r="165" spans="1:30" ht="15.75" customHeight="1" x14ac:dyDescent="0.2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</row>
    <row r="166" spans="1:30" ht="15.75" customHeight="1" x14ac:dyDescent="0.2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</row>
    <row r="167" spans="1:30" ht="15.75" customHeight="1" x14ac:dyDescent="0.2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</row>
    <row r="168" spans="1:30" ht="15.75" customHeight="1" x14ac:dyDescent="0.2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</row>
    <row r="169" spans="1:30" ht="15.75" customHeight="1" x14ac:dyDescent="0.2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</row>
    <row r="170" spans="1:30" ht="15.75" customHeight="1" x14ac:dyDescent="0.2">
      <c r="A170" s="229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</row>
    <row r="171" spans="1:30" ht="15.75" customHeight="1" x14ac:dyDescent="0.2">
      <c r="A171" s="229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</row>
    <row r="172" spans="1:30" ht="15" customHeight="1" x14ac:dyDescent="0.2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</row>
    <row r="173" spans="1:30" ht="15.75" customHeight="1" x14ac:dyDescent="0.2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</row>
    <row r="174" spans="1:30" ht="15.75" customHeight="1" x14ac:dyDescent="0.2">
      <c r="A174" s="229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</row>
    <row r="175" spans="1:30" ht="15.75" customHeight="1" x14ac:dyDescent="0.2">
      <c r="A175" s="229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</row>
    <row r="176" spans="1:30" ht="15.75" customHeight="1" x14ac:dyDescent="0.2">
      <c r="A176" s="229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</row>
    <row r="177" spans="1:30" ht="15.75" customHeight="1" x14ac:dyDescent="0.2">
      <c r="A177" s="229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</row>
    <row r="178" spans="1:30" ht="15.75" customHeight="1" x14ac:dyDescent="0.2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</row>
    <row r="179" spans="1:30" ht="15.75" customHeight="1" x14ac:dyDescent="0.2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</row>
    <row r="180" spans="1:30" ht="15.75" customHeight="1" x14ac:dyDescent="0.2">
      <c r="A180" s="229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</row>
    <row r="181" spans="1:30" ht="15.75" customHeight="1" x14ac:dyDescent="0.2">
      <c r="A181" s="229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  <c r="AA181" s="229"/>
      <c r="AB181" s="229"/>
      <c r="AC181" s="229"/>
      <c r="AD181" s="229"/>
    </row>
    <row r="182" spans="1:30" ht="15.75" customHeight="1" x14ac:dyDescent="0.2">
      <c r="A182" s="229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  <c r="AA182" s="229"/>
      <c r="AB182" s="229"/>
      <c r="AC182" s="229"/>
      <c r="AD182" s="229"/>
    </row>
    <row r="183" spans="1:30" ht="15.75" customHeight="1" x14ac:dyDescent="0.2">
      <c r="A183" s="229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  <c r="AA183" s="229"/>
      <c r="AB183" s="229"/>
      <c r="AC183" s="229"/>
      <c r="AD183" s="229"/>
    </row>
    <row r="184" spans="1:30" ht="15.75" customHeight="1" x14ac:dyDescent="0.2">
      <c r="A184" s="229"/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  <c r="AA184" s="229"/>
      <c r="AB184" s="229"/>
      <c r="AC184" s="229"/>
      <c r="AD184" s="229"/>
    </row>
    <row r="185" spans="1:30" ht="15.75" customHeight="1" x14ac:dyDescent="0.2">
      <c r="A185" s="229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</row>
    <row r="186" spans="1:30" ht="15.75" customHeight="1" x14ac:dyDescent="0.2">
      <c r="A186" s="229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</row>
    <row r="187" spans="1:30" ht="15.75" customHeight="1" x14ac:dyDescent="0.2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</row>
    <row r="188" spans="1:30" ht="15.75" customHeight="1" x14ac:dyDescent="0.2">
      <c r="A188" s="229"/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</row>
    <row r="189" spans="1:30" ht="15.75" customHeight="1" x14ac:dyDescent="0.2">
      <c r="A189" s="229"/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</row>
    <row r="190" spans="1:30" ht="15.75" customHeight="1" x14ac:dyDescent="0.2">
      <c r="A190" s="229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</row>
    <row r="191" spans="1:30" ht="15.75" customHeight="1" x14ac:dyDescent="0.2">
      <c r="A191" s="229"/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</row>
    <row r="192" spans="1:30" ht="15.75" customHeight="1" x14ac:dyDescent="0.2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</row>
    <row r="193" spans="1:30" ht="15.75" customHeight="1" x14ac:dyDescent="0.2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</row>
    <row r="194" spans="1:30" ht="15.75" customHeight="1" x14ac:dyDescent="0.2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  <c r="AC194" s="229"/>
      <c r="AD194" s="229"/>
    </row>
    <row r="195" spans="1:30" ht="15.75" customHeight="1" x14ac:dyDescent="0.2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</row>
    <row r="196" spans="1:30" ht="15.75" customHeight="1" x14ac:dyDescent="0.2">
      <c r="A196" s="229"/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</row>
    <row r="197" spans="1:30" ht="15.75" customHeight="1" x14ac:dyDescent="0.2">
      <c r="A197" s="229"/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  <c r="AC197" s="229"/>
      <c r="AD197" s="229"/>
    </row>
    <row r="198" spans="1:30" ht="15.75" customHeight="1" x14ac:dyDescent="0.2">
      <c r="A198" s="229"/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</row>
    <row r="199" spans="1:30" ht="15.75" customHeight="1" x14ac:dyDescent="0.2">
      <c r="A199" s="229"/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</row>
    <row r="200" spans="1:30" ht="15.75" customHeight="1" x14ac:dyDescent="0.2">
      <c r="A200" s="229"/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</row>
    <row r="201" spans="1:30" ht="15.75" customHeight="1" x14ac:dyDescent="0.2">
      <c r="A201" s="229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  <c r="AC201" s="229"/>
      <c r="AD201" s="229"/>
    </row>
    <row r="202" spans="1:30" ht="15.75" customHeight="1" x14ac:dyDescent="0.2">
      <c r="A202" s="229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</row>
    <row r="203" spans="1:30" ht="15.7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  <c r="AC203" s="229"/>
      <c r="AD203" s="229"/>
    </row>
    <row r="204" spans="1:30" ht="15.7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  <c r="AC204" s="229"/>
      <c r="AD204" s="229"/>
    </row>
    <row r="205" spans="1:30" ht="15.75" customHeight="1" x14ac:dyDescent="0.2">
      <c r="A205" s="229"/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</row>
    <row r="206" spans="1:30" ht="15.75" customHeight="1" x14ac:dyDescent="0.2">
      <c r="A206" s="229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</row>
    <row r="207" spans="1:30" ht="15.75" customHeight="1" x14ac:dyDescent="0.2">
      <c r="A207" s="229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  <c r="AC207" s="229"/>
      <c r="AD207" s="229"/>
    </row>
    <row r="208" spans="1:30" ht="15.75" customHeight="1" x14ac:dyDescent="0.2">
      <c r="A208" s="229"/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  <c r="AC208" s="229"/>
      <c r="AD208" s="229"/>
    </row>
    <row r="209" spans="1:30" ht="15.75" customHeight="1" x14ac:dyDescent="0.2">
      <c r="A209" s="229"/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  <c r="AC209" s="229"/>
      <c r="AD209" s="229"/>
    </row>
    <row r="210" spans="1:30" ht="15.75" customHeight="1" x14ac:dyDescent="0.2">
      <c r="A210" s="229"/>
      <c r="B210" s="229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</row>
    <row r="211" spans="1:30" ht="15.75" customHeight="1" x14ac:dyDescent="0.2">
      <c r="A211" s="229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</row>
    <row r="212" spans="1:30" ht="15.75" customHeight="1" x14ac:dyDescent="0.2">
      <c r="A212" s="229"/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</row>
    <row r="213" spans="1:30" ht="15.75" customHeight="1" x14ac:dyDescent="0.2">
      <c r="A213" s="229"/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</row>
    <row r="214" spans="1:30" ht="15.75" customHeight="1" x14ac:dyDescent="0.2">
      <c r="A214" s="229"/>
      <c r="B214" s="229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</row>
    <row r="215" spans="1:30" ht="15.75" customHeight="1" x14ac:dyDescent="0.2">
      <c r="A215" s="229"/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</row>
    <row r="216" spans="1:30" ht="15.75" customHeight="1" x14ac:dyDescent="0.2">
      <c r="A216" s="229"/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</row>
    <row r="217" spans="1:30" ht="15.75" customHeight="1" x14ac:dyDescent="0.2">
      <c r="A217" s="229"/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</row>
    <row r="218" spans="1:30" ht="15.75" customHeight="1" x14ac:dyDescent="0.2">
      <c r="A218" s="229"/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</row>
    <row r="219" spans="1:30" ht="15.75" customHeight="1" x14ac:dyDescent="0.2">
      <c r="A219" s="229"/>
      <c r="B219" s="229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  <c r="AC219" s="229"/>
      <c r="AD219" s="229"/>
    </row>
    <row r="220" spans="1:30" ht="15.75" customHeight="1" x14ac:dyDescent="0.2">
      <c r="A220" s="229"/>
      <c r="B220" s="229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</row>
    <row r="221" spans="1:30" ht="15.75" customHeight="1" x14ac:dyDescent="0.2">
      <c r="A221" s="229"/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</row>
    <row r="222" spans="1:30" ht="15.75" customHeight="1" x14ac:dyDescent="0.2">
      <c r="A222" s="229"/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</row>
    <row r="223" spans="1:30" ht="15.75" customHeight="1" x14ac:dyDescent="0.2">
      <c r="A223" s="229"/>
      <c r="B223" s="229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  <c r="AC223" s="229"/>
      <c r="AD223" s="229"/>
    </row>
    <row r="224" spans="1:30" ht="15.75" customHeight="1" x14ac:dyDescent="0.2">
      <c r="A224" s="229"/>
      <c r="B224" s="229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</row>
    <row r="225" spans="1:30" ht="15.75" customHeight="1" x14ac:dyDescent="0.2">
      <c r="A225" s="229"/>
      <c r="B225" s="229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</row>
    <row r="226" spans="1:30" ht="15.75" customHeight="1" x14ac:dyDescent="0.2">
      <c r="A226" s="229"/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  <c r="AA226" s="229"/>
      <c r="AB226" s="229"/>
      <c r="AC226" s="229"/>
      <c r="AD226" s="229"/>
    </row>
    <row r="227" spans="1:30" ht="15.75" customHeight="1" x14ac:dyDescent="0.2">
      <c r="A227" s="229"/>
      <c r="B227" s="229"/>
      <c r="C227" s="229"/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  <c r="AA227" s="229"/>
      <c r="AB227" s="229"/>
      <c r="AC227" s="229"/>
      <c r="AD227" s="229"/>
    </row>
    <row r="228" spans="1:30" ht="15.75" customHeight="1" x14ac:dyDescent="0.2">
      <c r="A228" s="229"/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  <c r="AA228" s="229"/>
      <c r="AB228" s="229"/>
      <c r="AC228" s="229"/>
      <c r="AD228" s="229"/>
    </row>
    <row r="229" spans="1:30" ht="15.75" customHeight="1" x14ac:dyDescent="0.2">
      <c r="A229" s="229"/>
      <c r="B229" s="229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  <c r="AA229" s="229"/>
      <c r="AB229" s="229"/>
      <c r="AC229" s="229"/>
      <c r="AD229" s="229"/>
    </row>
    <row r="230" spans="1:30" ht="15.75" customHeight="1" x14ac:dyDescent="0.2">
      <c r="A230" s="229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</row>
    <row r="231" spans="1:30" ht="15.75" customHeight="1" x14ac:dyDescent="0.2">
      <c r="A231" s="229"/>
      <c r="B231" s="229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  <c r="AA231" s="229"/>
      <c r="AB231" s="229"/>
      <c r="AC231" s="229"/>
      <c r="AD231" s="229"/>
    </row>
    <row r="232" spans="1:30" ht="15.75" customHeight="1" x14ac:dyDescent="0.2">
      <c r="A232" s="229"/>
      <c r="B232" s="229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  <c r="AA232" s="229"/>
      <c r="AB232" s="229"/>
      <c r="AC232" s="229"/>
      <c r="AD232" s="229"/>
    </row>
    <row r="233" spans="1:30" ht="15.75" customHeight="1" x14ac:dyDescent="0.2">
      <c r="A233" s="229"/>
      <c r="B233" s="229"/>
      <c r="C233" s="229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  <c r="AA233" s="229"/>
      <c r="AB233" s="229"/>
      <c r="AC233" s="229"/>
      <c r="AD233" s="229"/>
    </row>
    <row r="234" spans="1:30" ht="15.75" customHeight="1" x14ac:dyDescent="0.2">
      <c r="A234" s="229"/>
      <c r="B234" s="229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  <c r="AA234" s="229"/>
      <c r="AB234" s="229"/>
      <c r="AC234" s="229"/>
      <c r="AD234" s="229"/>
    </row>
    <row r="235" spans="1:30" ht="15.75" customHeight="1" x14ac:dyDescent="0.2">
      <c r="A235" s="229"/>
      <c r="B235" s="229"/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  <c r="AA235" s="229"/>
      <c r="AB235" s="229"/>
      <c r="AC235" s="229"/>
      <c r="AD235" s="229"/>
    </row>
    <row r="236" spans="1:30" ht="15.75" customHeight="1" x14ac:dyDescent="0.2">
      <c r="A236" s="229"/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  <c r="AA236" s="229"/>
      <c r="AB236" s="229"/>
      <c r="AC236" s="229"/>
      <c r="AD236" s="229"/>
    </row>
    <row r="237" spans="1:30" ht="15.75" customHeight="1" x14ac:dyDescent="0.2">
      <c r="A237" s="229"/>
      <c r="B237" s="229"/>
      <c r="C237" s="229"/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  <c r="AA237" s="229"/>
      <c r="AB237" s="229"/>
      <c r="AC237" s="229"/>
      <c r="AD237" s="229"/>
    </row>
    <row r="238" spans="1:30" ht="15.75" customHeight="1" x14ac:dyDescent="0.2">
      <c r="A238" s="229"/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  <c r="AA238" s="229"/>
      <c r="AB238" s="229"/>
      <c r="AC238" s="229"/>
      <c r="AD238" s="229"/>
    </row>
    <row r="239" spans="1:30" ht="15.75" customHeight="1" x14ac:dyDescent="0.2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  <c r="AA239" s="229"/>
      <c r="AB239" s="229"/>
      <c r="AC239" s="229"/>
      <c r="AD239" s="229"/>
    </row>
    <row r="240" spans="1:30" ht="15.75" customHeight="1" x14ac:dyDescent="0.2">
      <c r="A240" s="229"/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</row>
    <row r="241" spans="1:30" ht="15.75" customHeight="1" x14ac:dyDescent="0.2">
      <c r="A241" s="229"/>
      <c r="B241" s="229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  <c r="AA241" s="229"/>
      <c r="AB241" s="229"/>
      <c r="AC241" s="229"/>
      <c r="AD241" s="229"/>
    </row>
    <row r="242" spans="1:30" ht="15.75" customHeight="1" x14ac:dyDescent="0.2">
      <c r="A242" s="229"/>
      <c r="B242" s="229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  <c r="AA242" s="229"/>
      <c r="AB242" s="229"/>
      <c r="AC242" s="229"/>
      <c r="AD242" s="229"/>
    </row>
    <row r="243" spans="1:30" ht="15.75" customHeight="1" x14ac:dyDescent="0.2">
      <c r="A243" s="229"/>
      <c r="B243" s="229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  <c r="AA243" s="229"/>
      <c r="AB243" s="229"/>
      <c r="AC243" s="229"/>
      <c r="AD243" s="229"/>
    </row>
    <row r="244" spans="1:30" ht="15.75" customHeight="1" x14ac:dyDescent="0.2">
      <c r="A244" s="229"/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  <c r="AA244" s="229"/>
      <c r="AB244" s="229"/>
      <c r="AC244" s="229"/>
      <c r="AD244" s="229"/>
    </row>
    <row r="245" spans="1:30" ht="15.75" customHeight="1" x14ac:dyDescent="0.2">
      <c r="A245" s="229"/>
      <c r="B245" s="229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</row>
    <row r="246" spans="1:30" ht="15.75" customHeight="1" x14ac:dyDescent="0.2">
      <c r="A246" s="229"/>
      <c r="B246" s="229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  <c r="AA246" s="229"/>
      <c r="AB246" s="229"/>
      <c r="AC246" s="229"/>
      <c r="AD246" s="229"/>
    </row>
    <row r="247" spans="1:30" ht="15.75" customHeight="1" x14ac:dyDescent="0.2">
      <c r="A247" s="229"/>
      <c r="B247" s="229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  <c r="AA247" s="229"/>
      <c r="AB247" s="229"/>
      <c r="AC247" s="229"/>
      <c r="AD247" s="229"/>
    </row>
    <row r="248" spans="1:30" ht="15.75" customHeight="1" x14ac:dyDescent="0.2">
      <c r="A248" s="229"/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  <c r="AA248" s="229"/>
      <c r="AB248" s="229"/>
      <c r="AC248" s="229"/>
      <c r="AD248" s="229"/>
    </row>
    <row r="249" spans="1:30" ht="15.75" customHeight="1" x14ac:dyDescent="0.2">
      <c r="A249" s="229"/>
      <c r="B249" s="229"/>
      <c r="C249" s="229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  <c r="AA249" s="229"/>
      <c r="AB249" s="229"/>
      <c r="AC249" s="229"/>
      <c r="AD249" s="229"/>
    </row>
    <row r="250" spans="1:30" ht="15.75" customHeight="1" x14ac:dyDescent="0.2">
      <c r="A250" s="229"/>
      <c r="B250" s="229"/>
      <c r="C250" s="229"/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</row>
    <row r="251" spans="1:30" ht="140.25" customHeight="1" x14ac:dyDescent="0.2">
      <c r="A251" s="229"/>
      <c r="B251" s="229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  <c r="AA251" s="229"/>
      <c r="AB251" s="229"/>
      <c r="AC251" s="229"/>
      <c r="AD251" s="229"/>
    </row>
    <row r="252" spans="1:30" ht="15.75" customHeight="1" x14ac:dyDescent="0.2">
      <c r="A252" s="229"/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  <c r="AA252" s="229"/>
      <c r="AB252" s="229"/>
      <c r="AC252" s="229"/>
      <c r="AD252" s="229"/>
    </row>
    <row r="253" spans="1:30" ht="15.75" customHeight="1" x14ac:dyDescent="0.2">
      <c r="A253" s="229"/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</row>
    <row r="254" spans="1:30" ht="15.75" customHeight="1" x14ac:dyDescent="0.2">
      <c r="A254" s="229"/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</row>
    <row r="255" spans="1:30" ht="15.75" customHeight="1" x14ac:dyDescent="0.2">
      <c r="A255" s="229"/>
      <c r="B255" s="229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</row>
    <row r="256" spans="1:30" ht="15.75" customHeight="1" x14ac:dyDescent="0.2">
      <c r="A256" s="229"/>
      <c r="B256" s="229"/>
      <c r="C256" s="229"/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  <c r="AA256" s="229"/>
      <c r="AB256" s="229"/>
      <c r="AC256" s="229"/>
      <c r="AD256" s="229"/>
    </row>
    <row r="257" spans="1:30" ht="15.75" customHeight="1" x14ac:dyDescent="0.2">
      <c r="A257" s="229"/>
      <c r="B257" s="229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  <c r="AA257" s="229"/>
      <c r="AB257" s="229"/>
      <c r="AC257" s="229"/>
      <c r="AD257" s="229"/>
    </row>
    <row r="258" spans="1:30" ht="15.75" customHeight="1" x14ac:dyDescent="0.2">
      <c r="A258" s="229"/>
      <c r="B258" s="229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  <c r="AA258" s="229"/>
      <c r="AB258" s="229"/>
      <c r="AC258" s="229"/>
      <c r="AD258" s="229"/>
    </row>
    <row r="259" spans="1:30" ht="15.75" customHeight="1" x14ac:dyDescent="0.2">
      <c r="A259" s="229"/>
      <c r="B259" s="229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  <c r="AA259" s="229"/>
      <c r="AB259" s="229"/>
      <c r="AC259" s="229"/>
      <c r="AD259" s="229"/>
    </row>
    <row r="260" spans="1:30" ht="15.75" customHeight="1" x14ac:dyDescent="0.2">
      <c r="A260" s="229"/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  <c r="AA260" s="229"/>
      <c r="AB260" s="229"/>
      <c r="AC260" s="229"/>
      <c r="AD260" s="229"/>
    </row>
    <row r="261" spans="1:30" ht="15.75" customHeight="1" x14ac:dyDescent="0.2">
      <c r="A261" s="229"/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  <c r="AA261" s="229"/>
      <c r="AB261" s="229"/>
      <c r="AC261" s="229"/>
      <c r="AD261" s="229"/>
    </row>
    <row r="262" spans="1:30" ht="15.75" customHeight="1" x14ac:dyDescent="0.2">
      <c r="A262" s="229"/>
      <c r="B262" s="229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  <c r="AA262" s="229"/>
      <c r="AB262" s="229"/>
      <c r="AC262" s="229"/>
      <c r="AD262" s="229"/>
    </row>
    <row r="263" spans="1:30" ht="15.75" customHeight="1" x14ac:dyDescent="0.2">
      <c r="A263" s="229"/>
      <c r="B263" s="229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  <c r="AA263" s="229"/>
      <c r="AB263" s="229"/>
      <c r="AC263" s="229"/>
      <c r="AD263" s="229"/>
    </row>
    <row r="264" spans="1:30" ht="15.75" customHeight="1" x14ac:dyDescent="0.2">
      <c r="A264" s="229"/>
      <c r="B264" s="229"/>
      <c r="C264" s="229"/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  <c r="AA264" s="229"/>
      <c r="AB264" s="229"/>
      <c r="AC264" s="229"/>
      <c r="AD264" s="229"/>
    </row>
    <row r="265" spans="1:30" ht="15.75" customHeight="1" x14ac:dyDescent="0.2">
      <c r="A265" s="229"/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</row>
    <row r="266" spans="1:30" ht="15.75" customHeight="1" x14ac:dyDescent="0.2">
      <c r="A266" s="229"/>
      <c r="B266" s="229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</row>
    <row r="267" spans="1:30" ht="15.75" customHeight="1" x14ac:dyDescent="0.2">
      <c r="A267" s="229"/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  <c r="AC267" s="229"/>
      <c r="AD267" s="229"/>
    </row>
    <row r="268" spans="1:30" ht="15.75" customHeight="1" x14ac:dyDescent="0.2">
      <c r="A268" s="229"/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</row>
    <row r="269" spans="1:30" ht="15.75" customHeight="1" x14ac:dyDescent="0.2">
      <c r="A269" s="229"/>
      <c r="B269" s="229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  <c r="AC269" s="229"/>
      <c r="AD269" s="229"/>
    </row>
    <row r="270" spans="1:30" ht="15.75" customHeight="1" x14ac:dyDescent="0.2">
      <c r="A270" s="229"/>
      <c r="B270" s="229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</row>
    <row r="271" spans="1:30" ht="15.75" customHeight="1" x14ac:dyDescent="0.2">
      <c r="A271" s="229"/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</row>
    <row r="272" spans="1:30" ht="15.75" customHeight="1" x14ac:dyDescent="0.2">
      <c r="A272" s="229"/>
      <c r="B272" s="229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</row>
    <row r="273" spans="1:30" ht="15.75" customHeight="1" x14ac:dyDescent="0.2">
      <c r="A273" s="229"/>
      <c r="B273" s="229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  <c r="AC273" s="229"/>
      <c r="AD273" s="229"/>
    </row>
    <row r="274" spans="1:30" ht="15.75" customHeight="1" x14ac:dyDescent="0.2">
      <c r="A274" s="229"/>
      <c r="B274" s="229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  <c r="AC274" s="229"/>
      <c r="AD274" s="229"/>
    </row>
    <row r="275" spans="1:30" ht="15.75" customHeight="1" x14ac:dyDescent="0.2">
      <c r="A275" s="229"/>
      <c r="B275" s="229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</row>
    <row r="276" spans="1:30" ht="15.75" customHeight="1" x14ac:dyDescent="0.2">
      <c r="A276" s="229"/>
      <c r="B276" s="229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  <c r="AC276" s="229"/>
      <c r="AD276" s="229"/>
    </row>
    <row r="277" spans="1:30" ht="15.75" customHeight="1" x14ac:dyDescent="0.2">
      <c r="A277" s="229"/>
      <c r="B277" s="229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9"/>
    </row>
    <row r="278" spans="1:30" ht="15.75" customHeight="1" x14ac:dyDescent="0.2">
      <c r="A278" s="229"/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  <c r="AC278" s="229"/>
      <c r="AD278" s="229"/>
    </row>
    <row r="279" spans="1:30" ht="15.75" customHeight="1" x14ac:dyDescent="0.2">
      <c r="A279" s="229"/>
      <c r="B279" s="229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</row>
    <row r="280" spans="1:30" ht="15.75" customHeight="1" x14ac:dyDescent="0.2">
      <c r="A280" s="229"/>
      <c r="B280" s="229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</row>
    <row r="281" spans="1:30" ht="15.75" customHeight="1" x14ac:dyDescent="0.2">
      <c r="A281" s="229"/>
      <c r="B281" s="229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  <c r="AC281" s="229"/>
      <c r="AD281" s="229"/>
    </row>
    <row r="282" spans="1:30" ht="15.75" customHeight="1" x14ac:dyDescent="0.2">
      <c r="A282" s="229"/>
      <c r="B282" s="229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  <c r="AC282" s="229"/>
      <c r="AD282" s="229"/>
    </row>
    <row r="283" spans="1:30" ht="15.75" customHeight="1" x14ac:dyDescent="0.2">
      <c r="A283" s="229"/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  <c r="AC283" s="229"/>
      <c r="AD283" s="229"/>
    </row>
    <row r="284" spans="1:30" ht="15.75" customHeight="1" x14ac:dyDescent="0.2">
      <c r="A284" s="229"/>
      <c r="B284" s="229"/>
      <c r="C284" s="229"/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  <c r="AA284" s="229"/>
      <c r="AB284" s="229"/>
      <c r="AC284" s="229"/>
      <c r="AD284" s="229"/>
    </row>
    <row r="285" spans="1:30" ht="15.75" customHeight="1" x14ac:dyDescent="0.2">
      <c r="A285" s="229"/>
      <c r="B285" s="229"/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  <c r="AA285" s="229"/>
      <c r="AB285" s="229"/>
      <c r="AC285" s="229"/>
      <c r="AD285" s="229"/>
    </row>
    <row r="286" spans="1:30" ht="15.75" customHeight="1" x14ac:dyDescent="0.2">
      <c r="A286" s="229"/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  <c r="AA286" s="229"/>
      <c r="AB286" s="229"/>
      <c r="AC286" s="229"/>
      <c r="AD286" s="229"/>
    </row>
    <row r="287" spans="1:30" ht="15.75" customHeight="1" x14ac:dyDescent="0.2">
      <c r="A287" s="229"/>
      <c r="B287" s="229"/>
      <c r="C287" s="229"/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  <c r="AA287" s="229"/>
      <c r="AB287" s="229"/>
      <c r="AC287" s="229"/>
      <c r="AD287" s="229"/>
    </row>
    <row r="288" spans="1:30" ht="15.75" customHeight="1" x14ac:dyDescent="0.2">
      <c r="A288" s="229"/>
      <c r="B288" s="229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  <c r="AA288" s="229"/>
      <c r="AB288" s="229"/>
      <c r="AC288" s="229"/>
      <c r="AD288" s="229"/>
    </row>
    <row r="289" spans="1:30" ht="15.75" customHeight="1" x14ac:dyDescent="0.2">
      <c r="A289" s="229"/>
      <c r="B289" s="229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  <c r="AA289" s="229"/>
      <c r="AB289" s="229"/>
      <c r="AC289" s="229"/>
      <c r="AD289" s="229"/>
    </row>
    <row r="290" spans="1:30" ht="15.75" customHeight="1" x14ac:dyDescent="0.2">
      <c r="A290" s="229"/>
      <c r="B290" s="229"/>
      <c r="C290" s="229"/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  <c r="AA290" s="229"/>
      <c r="AB290" s="229"/>
      <c r="AC290" s="229"/>
      <c r="AD290" s="229"/>
    </row>
    <row r="291" spans="1:30" ht="15.75" customHeight="1" x14ac:dyDescent="0.2">
      <c r="A291" s="229"/>
      <c r="B291" s="229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  <c r="AA291" s="229"/>
      <c r="AB291" s="229"/>
      <c r="AC291" s="229"/>
      <c r="AD291" s="229"/>
    </row>
    <row r="292" spans="1:30" ht="15.75" customHeight="1" x14ac:dyDescent="0.2">
      <c r="A292" s="229"/>
      <c r="B292" s="229"/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  <c r="AA292" s="229"/>
      <c r="AB292" s="229"/>
      <c r="AC292" s="229"/>
      <c r="AD292" s="229"/>
    </row>
    <row r="293" spans="1:30" ht="15.75" customHeight="1" x14ac:dyDescent="0.2">
      <c r="A293" s="229"/>
      <c r="B293" s="229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  <c r="AA293" s="229"/>
      <c r="AB293" s="229"/>
      <c r="AC293" s="229"/>
      <c r="AD293" s="229"/>
    </row>
    <row r="294" spans="1:30" ht="15.75" customHeight="1" x14ac:dyDescent="0.2">
      <c r="A294" s="229"/>
      <c r="B294" s="229"/>
      <c r="C294" s="229"/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  <c r="AA294" s="229"/>
      <c r="AB294" s="229"/>
      <c r="AC294" s="229"/>
      <c r="AD294" s="229"/>
    </row>
    <row r="295" spans="1:30" ht="15.75" customHeight="1" x14ac:dyDescent="0.2">
      <c r="A295" s="229"/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  <c r="AA295" s="229"/>
      <c r="AB295" s="229"/>
      <c r="AC295" s="229"/>
      <c r="AD295" s="229"/>
    </row>
    <row r="296" spans="1:30" ht="15.75" customHeight="1" x14ac:dyDescent="0.2">
      <c r="A296" s="229"/>
      <c r="B296" s="229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  <c r="AA296" s="229"/>
      <c r="AB296" s="229"/>
      <c r="AC296" s="229"/>
      <c r="AD296" s="229"/>
    </row>
    <row r="297" spans="1:30" ht="15.75" customHeight="1" x14ac:dyDescent="0.2">
      <c r="A297" s="229"/>
      <c r="B297" s="229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  <c r="AA297" s="229"/>
      <c r="AB297" s="229"/>
      <c r="AC297" s="229"/>
      <c r="AD297" s="229"/>
    </row>
    <row r="298" spans="1:30" ht="15.75" customHeight="1" x14ac:dyDescent="0.2">
      <c r="A298" s="229"/>
      <c r="B298" s="229"/>
      <c r="C298" s="229"/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  <c r="AA298" s="229"/>
      <c r="AB298" s="229"/>
      <c r="AC298" s="229"/>
      <c r="AD298" s="229"/>
    </row>
    <row r="299" spans="1:30" ht="15.75" customHeight="1" x14ac:dyDescent="0.2">
      <c r="A299" s="229"/>
      <c r="B299" s="229"/>
      <c r="C299" s="229"/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  <c r="AA299" s="229"/>
      <c r="AB299" s="229"/>
      <c r="AC299" s="229"/>
      <c r="AD299" s="229"/>
    </row>
    <row r="300" spans="1:30" ht="15.75" customHeight="1" x14ac:dyDescent="0.2">
      <c r="A300" s="229"/>
      <c r="B300" s="229"/>
      <c r="C300" s="229"/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  <c r="AA300" s="229"/>
      <c r="AB300" s="229"/>
      <c r="AC300" s="229"/>
      <c r="AD300" s="229"/>
    </row>
    <row r="301" spans="1:30" ht="15.75" customHeight="1" x14ac:dyDescent="0.2">
      <c r="A301" s="229"/>
      <c r="B301" s="229"/>
      <c r="C301" s="229"/>
      <c r="D301" s="229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  <c r="AA301" s="229"/>
      <c r="AB301" s="229"/>
      <c r="AC301" s="229"/>
      <c r="AD301" s="229"/>
    </row>
    <row r="302" spans="1:30" ht="15.75" customHeight="1" x14ac:dyDescent="0.2">
      <c r="A302" s="229"/>
      <c r="B302" s="229"/>
      <c r="C302" s="229"/>
      <c r="D302" s="229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  <c r="AA302" s="229"/>
      <c r="AB302" s="229"/>
      <c r="AC302" s="229"/>
      <c r="AD302" s="229"/>
    </row>
    <row r="303" spans="1:30" ht="15.75" customHeight="1" x14ac:dyDescent="0.2">
      <c r="A303" s="229"/>
      <c r="B303" s="229"/>
      <c r="C303" s="229"/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  <c r="AA303" s="229"/>
      <c r="AB303" s="229"/>
      <c r="AC303" s="229"/>
      <c r="AD303" s="229"/>
    </row>
    <row r="304" spans="1:30" ht="15.75" customHeight="1" x14ac:dyDescent="0.2">
      <c r="A304" s="229"/>
      <c r="B304" s="229"/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  <c r="AA304" s="229"/>
      <c r="AB304" s="229"/>
      <c r="AC304" s="229"/>
      <c r="AD304" s="229"/>
    </row>
    <row r="305" spans="1:30" ht="15.75" customHeight="1" x14ac:dyDescent="0.2">
      <c r="A305" s="229"/>
      <c r="B305" s="229"/>
      <c r="C305" s="229"/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  <c r="AA305" s="229"/>
      <c r="AB305" s="229"/>
      <c r="AC305" s="229"/>
      <c r="AD305" s="229"/>
    </row>
    <row r="306" spans="1:30" ht="15.75" customHeight="1" x14ac:dyDescent="0.2">
      <c r="A306" s="229"/>
      <c r="B306" s="229"/>
      <c r="C306" s="229"/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  <c r="AA306" s="229"/>
      <c r="AB306" s="229"/>
      <c r="AC306" s="229"/>
      <c r="AD306" s="229"/>
    </row>
    <row r="307" spans="1:30" ht="15.75" customHeight="1" x14ac:dyDescent="0.2">
      <c r="A307" s="229"/>
      <c r="B307" s="229"/>
      <c r="C307" s="229"/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  <c r="AA307" s="229"/>
      <c r="AB307" s="229"/>
      <c r="AC307" s="229"/>
      <c r="AD307" s="229"/>
    </row>
    <row r="308" spans="1:30" ht="15.75" customHeight="1" x14ac:dyDescent="0.2">
      <c r="A308" s="229"/>
      <c r="B308" s="229"/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  <c r="AA308" s="229"/>
      <c r="AB308" s="229"/>
      <c r="AC308" s="229"/>
      <c r="AD308" s="229"/>
    </row>
    <row r="309" spans="1:30" ht="15.75" customHeight="1" x14ac:dyDescent="0.2">
      <c r="A309" s="229"/>
      <c r="B309" s="229"/>
      <c r="C309" s="229"/>
      <c r="D309" s="229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  <c r="AA309" s="229"/>
      <c r="AB309" s="229"/>
      <c r="AC309" s="229"/>
      <c r="AD309" s="229"/>
    </row>
    <row r="310" spans="1:30" ht="15.75" customHeight="1" x14ac:dyDescent="0.2">
      <c r="A310" s="229"/>
      <c r="B310" s="229"/>
      <c r="C310" s="229"/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  <c r="AA310" s="229"/>
      <c r="AB310" s="229"/>
      <c r="AC310" s="229"/>
      <c r="AD310" s="229"/>
    </row>
    <row r="311" spans="1:30" ht="15.75" customHeight="1" x14ac:dyDescent="0.2">
      <c r="A311" s="229"/>
      <c r="B311" s="229"/>
      <c r="C311" s="229"/>
      <c r="D311" s="229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  <c r="AA311" s="229"/>
      <c r="AB311" s="229"/>
      <c r="AC311" s="229"/>
      <c r="AD311" s="229"/>
    </row>
    <row r="312" spans="1:30" ht="15.75" customHeight="1" x14ac:dyDescent="0.2">
      <c r="A312" s="229"/>
      <c r="B312" s="229"/>
      <c r="C312" s="229"/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  <c r="AA312" s="229"/>
      <c r="AB312" s="229"/>
      <c r="AC312" s="229"/>
      <c r="AD312" s="229"/>
    </row>
    <row r="313" spans="1:30" ht="15.75" customHeight="1" x14ac:dyDescent="0.2">
      <c r="A313" s="229"/>
      <c r="B313" s="229"/>
      <c r="C313" s="229"/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  <c r="AA313" s="229"/>
      <c r="AB313" s="229"/>
      <c r="AC313" s="229"/>
      <c r="AD313" s="229"/>
    </row>
    <row r="314" spans="1:30" ht="15.75" customHeight="1" x14ac:dyDescent="0.2">
      <c r="A314" s="229"/>
      <c r="B314" s="229"/>
      <c r="C314" s="229"/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  <c r="AA314" s="229"/>
      <c r="AB314" s="229"/>
      <c r="AC314" s="229"/>
      <c r="AD314" s="229"/>
    </row>
    <row r="315" spans="1:30" ht="15.75" customHeight="1" x14ac:dyDescent="0.2">
      <c r="A315" s="229"/>
      <c r="B315" s="229"/>
      <c r="C315" s="229"/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  <c r="AA315" s="229"/>
      <c r="AB315" s="229"/>
      <c r="AC315" s="229"/>
      <c r="AD315" s="229"/>
    </row>
    <row r="316" spans="1:30" ht="15.75" customHeight="1" x14ac:dyDescent="0.2">
      <c r="A316" s="229"/>
      <c r="B316" s="229"/>
      <c r="C316" s="229"/>
      <c r="D316" s="229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  <c r="AA316" s="229"/>
      <c r="AB316" s="229"/>
      <c r="AC316" s="229"/>
      <c r="AD316" s="229"/>
    </row>
    <row r="317" spans="1:30" ht="15.75" customHeight="1" x14ac:dyDescent="0.2">
      <c r="A317" s="229"/>
      <c r="B317" s="229"/>
      <c r="C317" s="229"/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  <c r="AA317" s="229"/>
      <c r="AB317" s="229"/>
      <c r="AC317" s="229"/>
      <c r="AD317" s="229"/>
    </row>
    <row r="318" spans="1:30" ht="15.75" customHeight="1" x14ac:dyDescent="0.2">
      <c r="A318" s="229"/>
      <c r="B318" s="229"/>
      <c r="C318" s="229"/>
      <c r="D318" s="229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  <c r="AA318" s="229"/>
      <c r="AB318" s="229"/>
      <c r="AC318" s="229"/>
      <c r="AD318" s="229"/>
    </row>
    <row r="319" spans="1:30" ht="15.75" customHeight="1" x14ac:dyDescent="0.2">
      <c r="A319" s="229"/>
      <c r="B319" s="229"/>
      <c r="C319" s="229"/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  <c r="AA319" s="229"/>
      <c r="AB319" s="229"/>
      <c r="AC319" s="229"/>
      <c r="AD319" s="229"/>
    </row>
    <row r="320" spans="1:30" ht="15.75" customHeight="1" x14ac:dyDescent="0.2">
      <c r="A320" s="229"/>
      <c r="B320" s="229"/>
      <c r="C320" s="229"/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  <c r="AA320" s="229"/>
      <c r="AB320" s="229"/>
      <c r="AC320" s="229"/>
      <c r="AD320" s="229"/>
    </row>
    <row r="321" spans="1:30" ht="15.75" customHeight="1" x14ac:dyDescent="0.2">
      <c r="A321" s="229"/>
      <c r="B321" s="229"/>
      <c r="C321" s="229"/>
      <c r="D321" s="229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  <c r="AA321" s="229"/>
      <c r="AB321" s="229"/>
      <c r="AC321" s="229"/>
      <c r="AD321" s="229"/>
    </row>
    <row r="322" spans="1:30" ht="15.75" customHeight="1" x14ac:dyDescent="0.2">
      <c r="A322" s="229"/>
      <c r="B322" s="229"/>
      <c r="C322" s="229"/>
      <c r="D322" s="229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  <c r="AA322" s="229"/>
      <c r="AB322" s="229"/>
      <c r="AC322" s="229"/>
      <c r="AD322" s="229"/>
    </row>
    <row r="323" spans="1:30" ht="15.75" customHeight="1" x14ac:dyDescent="0.2">
      <c r="A323" s="229"/>
      <c r="B323" s="229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  <c r="AA323" s="229"/>
      <c r="AB323" s="229"/>
      <c r="AC323" s="229"/>
      <c r="AD323" s="229"/>
    </row>
    <row r="324" spans="1:30" ht="15.75" customHeight="1" x14ac:dyDescent="0.2">
      <c r="A324" s="229"/>
      <c r="B324" s="229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  <c r="AA324" s="229"/>
      <c r="AB324" s="229"/>
      <c r="AC324" s="229"/>
      <c r="AD324" s="229"/>
    </row>
    <row r="325" spans="1:30" ht="15.75" customHeight="1" x14ac:dyDescent="0.2">
      <c r="A325" s="229"/>
      <c r="B325" s="229"/>
      <c r="C325" s="229"/>
      <c r="D325" s="229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  <c r="AA325" s="229"/>
      <c r="AB325" s="229"/>
      <c r="AC325" s="229"/>
      <c r="AD325" s="229"/>
    </row>
    <row r="326" spans="1:30" ht="15.75" customHeight="1" x14ac:dyDescent="0.2">
      <c r="A326" s="229"/>
      <c r="B326" s="229"/>
      <c r="C326" s="229"/>
      <c r="D326" s="229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  <c r="AA326" s="229"/>
      <c r="AB326" s="229"/>
      <c r="AC326" s="229"/>
      <c r="AD326" s="229"/>
    </row>
    <row r="327" spans="1:30" ht="15.75" customHeight="1" x14ac:dyDescent="0.2">
      <c r="A327" s="229"/>
      <c r="B327" s="229"/>
      <c r="C327" s="229"/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  <c r="AA327" s="229"/>
      <c r="AB327" s="229"/>
      <c r="AC327" s="229"/>
      <c r="AD327" s="229"/>
    </row>
    <row r="328" spans="1:30" ht="15.75" customHeight="1" x14ac:dyDescent="0.2">
      <c r="A328" s="229"/>
      <c r="B328" s="229"/>
      <c r="C328" s="229"/>
      <c r="D328" s="229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  <c r="AA328" s="229"/>
      <c r="AB328" s="229"/>
      <c r="AC328" s="229"/>
      <c r="AD328" s="229"/>
    </row>
    <row r="329" spans="1:30" ht="15.75" customHeight="1" x14ac:dyDescent="0.2">
      <c r="A329" s="229"/>
      <c r="B329" s="229"/>
      <c r="C329" s="229"/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  <c r="AA329" s="229"/>
      <c r="AB329" s="229"/>
      <c r="AC329" s="229"/>
      <c r="AD329" s="229"/>
    </row>
    <row r="330" spans="1:30" ht="15.75" customHeight="1" x14ac:dyDescent="0.2">
      <c r="A330" s="229"/>
      <c r="B330" s="229"/>
      <c r="C330" s="229"/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  <c r="AA330" s="229"/>
      <c r="AB330" s="229"/>
      <c r="AC330" s="229"/>
      <c r="AD330" s="229"/>
    </row>
    <row r="331" spans="1:30" ht="15.75" customHeight="1" x14ac:dyDescent="0.2">
      <c r="A331" s="229"/>
      <c r="B331" s="229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  <c r="AA331" s="229"/>
      <c r="AB331" s="229"/>
      <c r="AC331" s="229"/>
      <c r="AD331" s="229"/>
    </row>
    <row r="332" spans="1:30" ht="15.75" customHeight="1" x14ac:dyDescent="0.2">
      <c r="A332" s="229"/>
      <c r="B332" s="229"/>
      <c r="C332" s="229"/>
      <c r="D332" s="229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  <c r="AA332" s="229"/>
      <c r="AB332" s="229"/>
      <c r="AC332" s="229"/>
      <c r="AD332" s="229"/>
    </row>
    <row r="333" spans="1:30" ht="15.75" customHeight="1" x14ac:dyDescent="0.2">
      <c r="A333" s="229"/>
      <c r="B333" s="229"/>
      <c r="C333" s="229"/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  <c r="AA333" s="229"/>
      <c r="AB333" s="229"/>
      <c r="AC333" s="229"/>
      <c r="AD333" s="229"/>
    </row>
    <row r="334" spans="1:30" ht="15.75" customHeight="1" x14ac:dyDescent="0.2">
      <c r="A334" s="229"/>
      <c r="B334" s="229"/>
      <c r="C334" s="229"/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  <c r="AA334" s="229"/>
      <c r="AB334" s="229"/>
      <c r="AC334" s="229"/>
      <c r="AD334" s="229"/>
    </row>
    <row r="335" spans="1:30" ht="15.75" customHeight="1" x14ac:dyDescent="0.2">
      <c r="A335" s="229"/>
      <c r="B335" s="229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  <c r="AA335" s="229"/>
      <c r="AB335" s="229"/>
      <c r="AC335" s="229"/>
      <c r="AD335" s="229"/>
    </row>
    <row r="336" spans="1:30" ht="15.75" customHeight="1" x14ac:dyDescent="0.2">
      <c r="A336" s="229"/>
      <c r="B336" s="229"/>
      <c r="C336" s="229"/>
      <c r="D336" s="229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  <c r="AA336" s="229"/>
      <c r="AB336" s="229"/>
      <c r="AC336" s="229"/>
      <c r="AD336" s="229"/>
    </row>
    <row r="337" spans="1:30" ht="15.75" customHeight="1" x14ac:dyDescent="0.2">
      <c r="A337" s="229"/>
      <c r="B337" s="229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  <c r="AA337" s="229"/>
      <c r="AB337" s="229"/>
      <c r="AC337" s="229"/>
      <c r="AD337" s="229"/>
    </row>
    <row r="338" spans="1:30" ht="15.75" customHeight="1" x14ac:dyDescent="0.2">
      <c r="A338" s="229"/>
      <c r="B338" s="229"/>
      <c r="C338" s="229"/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  <c r="AA338" s="229"/>
      <c r="AB338" s="229"/>
      <c r="AC338" s="229"/>
      <c r="AD338" s="229"/>
    </row>
    <row r="339" spans="1:30" ht="15.75" customHeight="1" x14ac:dyDescent="0.2">
      <c r="A339" s="229"/>
      <c r="B339" s="229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  <c r="AA339" s="229"/>
      <c r="AB339" s="229"/>
      <c r="AC339" s="229"/>
      <c r="AD339" s="229"/>
    </row>
    <row r="340" spans="1:30" ht="15.75" customHeight="1" x14ac:dyDescent="0.2">
      <c r="A340" s="229"/>
      <c r="B340" s="229"/>
      <c r="C340" s="229"/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  <c r="AA340" s="229"/>
      <c r="AB340" s="229"/>
      <c r="AC340" s="229"/>
      <c r="AD340" s="229"/>
    </row>
    <row r="341" spans="1:30" ht="15.75" customHeight="1" x14ac:dyDescent="0.2">
      <c r="A341" s="229"/>
      <c r="B341" s="229"/>
      <c r="C341" s="229"/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  <c r="AA341" s="229"/>
      <c r="AB341" s="229"/>
      <c r="AC341" s="229"/>
      <c r="AD341" s="229"/>
    </row>
    <row r="342" spans="1:30" ht="15.75" customHeight="1" x14ac:dyDescent="0.2">
      <c r="A342" s="229"/>
      <c r="B342" s="229"/>
      <c r="C342" s="229"/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  <c r="AA342" s="229"/>
      <c r="AB342" s="229"/>
      <c r="AC342" s="229"/>
      <c r="AD342" s="229"/>
    </row>
    <row r="343" spans="1:30" ht="15.75" customHeight="1" x14ac:dyDescent="0.2">
      <c r="A343" s="229"/>
      <c r="B343" s="229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  <c r="AA343" s="229"/>
      <c r="AB343" s="229"/>
      <c r="AC343" s="229"/>
      <c r="AD343" s="229"/>
    </row>
    <row r="344" spans="1:30" ht="15.75" customHeight="1" x14ac:dyDescent="0.2">
      <c r="A344" s="229"/>
      <c r="B344" s="229"/>
      <c r="C344" s="229"/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  <c r="AA344" s="229"/>
      <c r="AB344" s="229"/>
      <c r="AC344" s="229"/>
      <c r="AD344" s="229"/>
    </row>
    <row r="345" spans="1:30" ht="15.75" customHeight="1" x14ac:dyDescent="0.2">
      <c r="A345" s="229"/>
      <c r="B345" s="229"/>
      <c r="C345" s="229"/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  <c r="AA345" s="229"/>
      <c r="AB345" s="229"/>
      <c r="AC345" s="229"/>
      <c r="AD345" s="229"/>
    </row>
    <row r="346" spans="1:30" ht="15.75" customHeight="1" x14ac:dyDescent="0.2">
      <c r="A346" s="229"/>
      <c r="B346" s="229"/>
      <c r="C346" s="229"/>
      <c r="D346" s="229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  <c r="AA346" s="229"/>
      <c r="AB346" s="229"/>
      <c r="AC346" s="229"/>
      <c r="AD346" s="229"/>
    </row>
    <row r="347" spans="1:30" ht="15.75" customHeight="1" x14ac:dyDescent="0.2">
      <c r="A347" s="229"/>
      <c r="B347" s="229"/>
      <c r="C347" s="229"/>
      <c r="D347" s="229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  <c r="AA347" s="229"/>
      <c r="AB347" s="229"/>
      <c r="AC347" s="229"/>
      <c r="AD347" s="229"/>
    </row>
    <row r="348" spans="1:30" ht="15.75" customHeight="1" x14ac:dyDescent="0.2">
      <c r="A348" s="229"/>
      <c r="B348" s="229"/>
      <c r="C348" s="229"/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  <c r="AA348" s="229"/>
      <c r="AB348" s="229"/>
      <c r="AC348" s="229"/>
      <c r="AD348" s="229"/>
    </row>
    <row r="349" spans="1:30" ht="15.75" customHeight="1" x14ac:dyDescent="0.2">
      <c r="A349" s="229"/>
      <c r="B349" s="229"/>
      <c r="C349" s="229"/>
      <c r="D349" s="229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  <c r="AA349" s="229"/>
      <c r="AB349" s="229"/>
      <c r="AC349" s="229"/>
      <c r="AD349" s="229"/>
    </row>
    <row r="350" spans="1:30" ht="15.75" customHeight="1" x14ac:dyDescent="0.2">
      <c r="A350" s="229"/>
      <c r="B350" s="229"/>
      <c r="C350" s="229"/>
      <c r="D350" s="229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  <c r="AA350" s="229"/>
      <c r="AB350" s="229"/>
      <c r="AC350" s="229"/>
      <c r="AD350" s="229"/>
    </row>
    <row r="351" spans="1:30" ht="15.75" customHeight="1" x14ac:dyDescent="0.2">
      <c r="A351" s="229"/>
      <c r="B351" s="229"/>
      <c r="C351" s="229"/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  <c r="AA351" s="229"/>
      <c r="AB351" s="229"/>
      <c r="AC351" s="229"/>
      <c r="AD351" s="229"/>
    </row>
    <row r="352" spans="1:30" ht="15.75" customHeight="1" x14ac:dyDescent="0.2">
      <c r="A352" s="229"/>
      <c r="B352" s="229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  <c r="AC352" s="229"/>
      <c r="AD352" s="229"/>
    </row>
    <row r="353" spans="1:30" ht="15.75" customHeight="1" x14ac:dyDescent="0.2">
      <c r="A353" s="229"/>
      <c r="B353" s="229"/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  <c r="AA353" s="229"/>
      <c r="AB353" s="229"/>
      <c r="AC353" s="229"/>
      <c r="AD353" s="229"/>
    </row>
    <row r="354" spans="1:30" ht="15.75" customHeight="1" x14ac:dyDescent="0.2">
      <c r="A354" s="229"/>
      <c r="B354" s="229"/>
      <c r="C354" s="229"/>
      <c r="D354" s="229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  <c r="AA354" s="229"/>
      <c r="AB354" s="229"/>
      <c r="AC354" s="229"/>
      <c r="AD354" s="229"/>
    </row>
    <row r="355" spans="1:30" ht="15.75" customHeight="1" x14ac:dyDescent="0.2">
      <c r="A355" s="229"/>
      <c r="B355" s="229"/>
      <c r="C355" s="229"/>
      <c r="D355" s="229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  <c r="AA355" s="229"/>
      <c r="AB355" s="229"/>
      <c r="AC355" s="229"/>
      <c r="AD355" s="229"/>
    </row>
    <row r="356" spans="1:30" ht="15.75" customHeight="1" x14ac:dyDescent="0.2">
      <c r="A356" s="229"/>
      <c r="B356" s="229"/>
      <c r="C356" s="229"/>
      <c r="D356" s="229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  <c r="AA356" s="229"/>
      <c r="AB356" s="229"/>
      <c r="AC356" s="229"/>
      <c r="AD356" s="229"/>
    </row>
    <row r="357" spans="1:30" ht="15.75" customHeight="1" x14ac:dyDescent="0.2">
      <c r="A357" s="229"/>
      <c r="B357" s="229"/>
      <c r="C357" s="229"/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  <c r="AA357" s="229"/>
      <c r="AB357" s="229"/>
      <c r="AC357" s="229"/>
      <c r="AD357" s="229"/>
    </row>
    <row r="358" spans="1:30" ht="15.75" customHeight="1" x14ac:dyDescent="0.2">
      <c r="A358" s="229"/>
      <c r="B358" s="229"/>
      <c r="C358" s="229"/>
      <c r="D358" s="229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  <c r="AA358" s="229"/>
      <c r="AB358" s="229"/>
      <c r="AC358" s="229"/>
      <c r="AD358" s="229"/>
    </row>
    <row r="359" spans="1:30" ht="15.75" customHeight="1" x14ac:dyDescent="0.2">
      <c r="A359" s="229"/>
      <c r="B359" s="229"/>
      <c r="C359" s="229"/>
      <c r="D359" s="229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  <c r="AA359" s="229"/>
      <c r="AB359" s="229"/>
      <c r="AC359" s="229"/>
      <c r="AD359" s="229"/>
    </row>
    <row r="360" spans="1:30" ht="15.75" customHeight="1" x14ac:dyDescent="0.2">
      <c r="A360" s="229"/>
      <c r="B360" s="229"/>
      <c r="C360" s="229"/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  <c r="AA360" s="229"/>
      <c r="AB360" s="229"/>
      <c r="AC360" s="229"/>
      <c r="AD360" s="229"/>
    </row>
    <row r="361" spans="1:30" ht="15.75" customHeight="1" x14ac:dyDescent="0.2">
      <c r="A361" s="229"/>
      <c r="B361" s="229"/>
      <c r="C361" s="229"/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  <c r="AA361" s="229"/>
      <c r="AB361" s="229"/>
      <c r="AC361" s="229"/>
      <c r="AD361" s="229"/>
    </row>
    <row r="362" spans="1:30" ht="15.75" customHeight="1" x14ac:dyDescent="0.2">
      <c r="A362" s="229"/>
      <c r="B362" s="229"/>
      <c r="C362" s="229"/>
      <c r="D362" s="229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  <c r="AC362" s="229"/>
      <c r="AD362" s="229"/>
    </row>
    <row r="363" spans="1:30" ht="15.75" customHeight="1" x14ac:dyDescent="0.2">
      <c r="A363" s="229"/>
      <c r="B363" s="229"/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  <c r="AA363" s="229"/>
      <c r="AB363" s="229"/>
      <c r="AC363" s="229"/>
      <c r="AD363" s="229"/>
    </row>
    <row r="364" spans="1:30" ht="15.75" customHeight="1" x14ac:dyDescent="0.2">
      <c r="A364" s="229"/>
      <c r="B364" s="229"/>
      <c r="C364" s="229"/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  <c r="AA364" s="229"/>
      <c r="AB364" s="229"/>
      <c r="AC364" s="229"/>
      <c r="AD364" s="229"/>
    </row>
    <row r="365" spans="1:30" ht="15.75" customHeight="1" x14ac:dyDescent="0.2">
      <c r="A365" s="229"/>
      <c r="B365" s="229"/>
      <c r="C365" s="229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  <c r="AA365" s="229"/>
      <c r="AB365" s="229"/>
      <c r="AC365" s="229"/>
      <c r="AD365" s="229"/>
    </row>
    <row r="366" spans="1:30" ht="15.75" customHeight="1" x14ac:dyDescent="0.2">
      <c r="A366" s="229"/>
      <c r="B366" s="229"/>
      <c r="C366" s="229"/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  <c r="AA366" s="229"/>
      <c r="AB366" s="229"/>
      <c r="AC366" s="229"/>
      <c r="AD366" s="229"/>
    </row>
    <row r="367" spans="1:30" ht="15.75" customHeight="1" x14ac:dyDescent="0.2">
      <c r="A367" s="229"/>
      <c r="B367" s="229"/>
      <c r="C367" s="229"/>
      <c r="D367" s="229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  <c r="AA367" s="229"/>
      <c r="AB367" s="229"/>
      <c r="AC367" s="229"/>
      <c r="AD367" s="229"/>
    </row>
    <row r="368" spans="1:30" ht="15.75" customHeight="1" x14ac:dyDescent="0.2">
      <c r="A368" s="229"/>
      <c r="B368" s="229"/>
      <c r="C368" s="229"/>
      <c r="D368" s="229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  <c r="AA368" s="229"/>
      <c r="AB368" s="229"/>
      <c r="AC368" s="229"/>
      <c r="AD368" s="229"/>
    </row>
    <row r="369" spans="1:30" ht="15.75" customHeight="1" x14ac:dyDescent="0.2">
      <c r="A369" s="229"/>
      <c r="B369" s="229"/>
      <c r="C369" s="229"/>
      <c r="D369" s="229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  <c r="AA369" s="229"/>
      <c r="AB369" s="229"/>
      <c r="AC369" s="229"/>
      <c r="AD369" s="229"/>
    </row>
    <row r="370" spans="1:30" ht="15.75" customHeight="1" x14ac:dyDescent="0.2">
      <c r="A370" s="229"/>
      <c r="B370" s="229"/>
      <c r="C370" s="229"/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  <c r="AA370" s="229"/>
      <c r="AB370" s="229"/>
      <c r="AC370" s="229"/>
      <c r="AD370" s="229"/>
    </row>
    <row r="371" spans="1:30" ht="15.75" customHeight="1" x14ac:dyDescent="0.2">
      <c r="A371" s="229"/>
      <c r="B371" s="229"/>
      <c r="C371" s="229"/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  <c r="AA371" s="229"/>
      <c r="AB371" s="229"/>
      <c r="AC371" s="229"/>
      <c r="AD371" s="229"/>
    </row>
    <row r="372" spans="1:30" ht="15.75" customHeight="1" x14ac:dyDescent="0.2">
      <c r="A372" s="229"/>
      <c r="B372" s="229"/>
      <c r="C372" s="229"/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  <c r="AA372" s="229"/>
      <c r="AB372" s="229"/>
      <c r="AC372" s="229"/>
      <c r="AD372" s="229"/>
    </row>
    <row r="373" spans="1:30" ht="15.75" customHeight="1" x14ac:dyDescent="0.2">
      <c r="A373" s="229"/>
      <c r="B373" s="229"/>
      <c r="C373" s="229"/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  <c r="AA373" s="229"/>
      <c r="AB373" s="229"/>
      <c r="AC373" s="229"/>
      <c r="AD373" s="229"/>
    </row>
    <row r="374" spans="1:30" ht="15.75" customHeight="1" x14ac:dyDescent="0.2">
      <c r="A374" s="229"/>
      <c r="B374" s="229"/>
      <c r="C374" s="229"/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  <c r="AA374" s="229"/>
      <c r="AB374" s="229"/>
      <c r="AC374" s="229"/>
      <c r="AD374" s="229"/>
    </row>
    <row r="375" spans="1:30" ht="15.75" customHeight="1" x14ac:dyDescent="0.2">
      <c r="A375" s="229"/>
      <c r="B375" s="229"/>
      <c r="C375" s="229"/>
      <c r="D375" s="229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  <c r="AA375" s="229"/>
      <c r="AB375" s="229"/>
      <c r="AC375" s="229"/>
      <c r="AD375" s="229"/>
    </row>
    <row r="376" spans="1:30" ht="15.75" customHeight="1" x14ac:dyDescent="0.2">
      <c r="A376" s="229"/>
      <c r="B376" s="229"/>
      <c r="C376" s="229"/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  <c r="AA376" s="229"/>
      <c r="AB376" s="229"/>
      <c r="AC376" s="229"/>
      <c r="AD376" s="229"/>
    </row>
    <row r="377" spans="1:30" ht="15.75" customHeight="1" x14ac:dyDescent="0.2">
      <c r="A377" s="229"/>
      <c r="B377" s="229"/>
      <c r="C377" s="229"/>
      <c r="D377" s="229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  <c r="AA377" s="229"/>
      <c r="AB377" s="229"/>
      <c r="AC377" s="229"/>
      <c r="AD377" s="229"/>
    </row>
    <row r="378" spans="1:30" ht="15.75" customHeight="1" x14ac:dyDescent="0.2">
      <c r="A378" s="229"/>
      <c r="B378" s="229"/>
      <c r="C378" s="229"/>
      <c r="D378" s="229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  <c r="AA378" s="229"/>
      <c r="AB378" s="229"/>
      <c r="AC378" s="229"/>
      <c r="AD378" s="229"/>
    </row>
    <row r="379" spans="1:30" ht="15.75" customHeight="1" x14ac:dyDescent="0.2">
      <c r="A379" s="229"/>
      <c r="B379" s="229"/>
      <c r="C379" s="229"/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  <c r="AA379" s="229"/>
      <c r="AB379" s="229"/>
      <c r="AC379" s="229"/>
      <c r="AD379" s="229"/>
    </row>
    <row r="380" spans="1:30" ht="15.75" customHeight="1" x14ac:dyDescent="0.2">
      <c r="A380" s="229"/>
      <c r="B380" s="229"/>
      <c r="C380" s="229"/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  <c r="AA380" s="229"/>
      <c r="AB380" s="229"/>
      <c r="AC380" s="229"/>
      <c r="AD380" s="229"/>
    </row>
    <row r="381" spans="1:30" ht="15.75" customHeight="1" x14ac:dyDescent="0.2">
      <c r="A381" s="229"/>
      <c r="B381" s="229"/>
      <c r="C381" s="229"/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  <c r="AA381" s="229"/>
      <c r="AB381" s="229"/>
      <c r="AC381" s="229"/>
      <c r="AD381" s="229"/>
    </row>
    <row r="382" spans="1:30" ht="15.75" customHeight="1" x14ac:dyDescent="0.2">
      <c r="A382" s="229"/>
      <c r="B382" s="229"/>
      <c r="C382" s="229"/>
      <c r="D382" s="229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  <c r="AA382" s="229"/>
      <c r="AB382" s="229"/>
      <c r="AC382" s="229"/>
      <c r="AD382" s="229"/>
    </row>
    <row r="383" spans="1:30" ht="15.75" customHeight="1" x14ac:dyDescent="0.2">
      <c r="A383" s="229"/>
      <c r="B383" s="229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  <c r="AA383" s="229"/>
      <c r="AB383" s="229"/>
      <c r="AC383" s="229"/>
      <c r="AD383" s="229"/>
    </row>
    <row r="384" spans="1:30" ht="15.75" customHeight="1" x14ac:dyDescent="0.2">
      <c r="A384" s="229"/>
      <c r="B384" s="229"/>
      <c r="C384" s="229"/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  <c r="AA384" s="229"/>
      <c r="AB384" s="229"/>
      <c r="AC384" s="229"/>
      <c r="AD384" s="229"/>
    </row>
    <row r="385" spans="1:30" ht="15.75" customHeight="1" x14ac:dyDescent="0.2">
      <c r="A385" s="229"/>
      <c r="B385" s="229"/>
      <c r="C385" s="229"/>
      <c r="D385" s="229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  <c r="AA385" s="229"/>
      <c r="AB385" s="229"/>
      <c r="AC385" s="229"/>
      <c r="AD385" s="229"/>
    </row>
    <row r="386" spans="1:30" ht="15.75" customHeight="1" x14ac:dyDescent="0.2">
      <c r="A386" s="229"/>
      <c r="B386" s="229"/>
      <c r="C386" s="229"/>
      <c r="D386" s="229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  <c r="AA386" s="229"/>
      <c r="AB386" s="229"/>
      <c r="AC386" s="229"/>
      <c r="AD386" s="229"/>
    </row>
    <row r="387" spans="1:30" ht="15.75" customHeight="1" x14ac:dyDescent="0.2">
      <c r="A387" s="229"/>
      <c r="B387" s="229"/>
      <c r="C387" s="229"/>
      <c r="D387" s="229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  <c r="AA387" s="229"/>
      <c r="AB387" s="229"/>
      <c r="AC387" s="229"/>
      <c r="AD387" s="229"/>
    </row>
    <row r="388" spans="1:30" ht="15.75" customHeight="1" x14ac:dyDescent="0.2">
      <c r="A388" s="229"/>
      <c r="B388" s="229"/>
      <c r="C388" s="229"/>
      <c r="D388" s="229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  <c r="AA388" s="229"/>
      <c r="AB388" s="229"/>
      <c r="AC388" s="229"/>
      <c r="AD388" s="229"/>
    </row>
    <row r="389" spans="1:30" ht="15.75" customHeight="1" x14ac:dyDescent="0.2">
      <c r="A389" s="229"/>
      <c r="B389" s="229"/>
      <c r="C389" s="229"/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  <c r="AA389" s="229"/>
      <c r="AB389" s="229"/>
      <c r="AC389" s="229"/>
      <c r="AD389" s="229"/>
    </row>
    <row r="390" spans="1:30" ht="15.75" customHeight="1" x14ac:dyDescent="0.2">
      <c r="A390" s="229"/>
      <c r="B390" s="229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  <c r="AA390" s="229"/>
      <c r="AB390" s="229"/>
      <c r="AC390" s="229"/>
      <c r="AD390" s="229"/>
    </row>
    <row r="391" spans="1:30" ht="15.75" customHeight="1" x14ac:dyDescent="0.2">
      <c r="A391" s="229"/>
      <c r="B391" s="229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  <c r="AA391" s="229"/>
      <c r="AB391" s="229"/>
      <c r="AC391" s="229"/>
      <c r="AD391" s="229"/>
    </row>
    <row r="392" spans="1:30" ht="15.75" customHeight="1" x14ac:dyDescent="0.2">
      <c r="A392" s="229"/>
      <c r="B392" s="229"/>
      <c r="C392" s="229"/>
      <c r="D392" s="229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  <c r="AA392" s="229"/>
      <c r="AB392" s="229"/>
      <c r="AC392" s="229"/>
      <c r="AD392" s="229"/>
    </row>
    <row r="393" spans="1:30" ht="15.75" customHeight="1" x14ac:dyDescent="0.2">
      <c r="A393" s="229"/>
      <c r="B393" s="229"/>
      <c r="C393" s="229"/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  <c r="AA393" s="229"/>
      <c r="AB393" s="229"/>
      <c r="AC393" s="229"/>
      <c r="AD393" s="229"/>
    </row>
    <row r="394" spans="1:30" ht="15.75" customHeight="1" x14ac:dyDescent="0.2">
      <c r="A394" s="229"/>
      <c r="B394" s="229"/>
      <c r="C394" s="229"/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  <c r="AA394" s="229"/>
      <c r="AB394" s="229"/>
      <c r="AC394" s="229"/>
      <c r="AD394" s="229"/>
    </row>
    <row r="395" spans="1:30" ht="15.75" customHeight="1" x14ac:dyDescent="0.2">
      <c r="A395" s="229"/>
      <c r="B395" s="229"/>
      <c r="C395" s="229"/>
      <c r="D395" s="229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  <c r="AA395" s="229"/>
      <c r="AB395" s="229"/>
      <c r="AC395" s="229"/>
      <c r="AD395" s="229"/>
    </row>
    <row r="396" spans="1:30" ht="15.75" customHeight="1" x14ac:dyDescent="0.2">
      <c r="A396" s="229"/>
      <c r="B396" s="229"/>
      <c r="C396" s="229"/>
      <c r="D396" s="229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  <c r="AA396" s="229"/>
      <c r="AB396" s="229"/>
      <c r="AC396" s="229"/>
      <c r="AD396" s="229"/>
    </row>
    <row r="397" spans="1:30" ht="15.75" customHeight="1" x14ac:dyDescent="0.2">
      <c r="A397" s="229"/>
      <c r="B397" s="229"/>
      <c r="C397" s="229"/>
      <c r="D397" s="229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  <c r="AA397" s="229"/>
      <c r="AB397" s="229"/>
      <c r="AC397" s="229"/>
      <c r="AD397" s="229"/>
    </row>
    <row r="398" spans="1:30" ht="15.75" customHeight="1" x14ac:dyDescent="0.2">
      <c r="A398" s="229"/>
      <c r="B398" s="229"/>
      <c r="C398" s="229"/>
      <c r="D398" s="229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  <c r="AA398" s="229"/>
      <c r="AB398" s="229"/>
      <c r="AC398" s="229"/>
      <c r="AD398" s="229"/>
    </row>
    <row r="399" spans="1:30" ht="15.75" customHeight="1" x14ac:dyDescent="0.2">
      <c r="A399" s="229"/>
      <c r="B399" s="229"/>
      <c r="C399" s="229"/>
      <c r="D399" s="229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  <c r="AA399" s="229"/>
      <c r="AB399" s="229"/>
      <c r="AC399" s="229"/>
      <c r="AD399" s="229"/>
    </row>
    <row r="400" spans="1:30" ht="15.75" customHeight="1" x14ac:dyDescent="0.2">
      <c r="A400" s="229"/>
      <c r="B400" s="229"/>
      <c r="C400" s="229"/>
      <c r="D400" s="229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  <c r="AA400" s="229"/>
      <c r="AB400" s="229"/>
      <c r="AC400" s="229"/>
      <c r="AD400" s="229"/>
    </row>
    <row r="401" spans="1:30" ht="15.75" customHeight="1" x14ac:dyDescent="0.2">
      <c r="A401" s="229"/>
      <c r="B401" s="229"/>
      <c r="C401" s="229"/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  <c r="AA401" s="229"/>
      <c r="AB401" s="229"/>
      <c r="AC401" s="229"/>
      <c r="AD401" s="229"/>
    </row>
    <row r="402" spans="1:30" ht="15.75" customHeight="1" x14ac:dyDescent="0.2">
      <c r="A402" s="229"/>
      <c r="B402" s="229"/>
      <c r="C402" s="229"/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  <c r="AA402" s="229"/>
      <c r="AB402" s="229"/>
      <c r="AC402" s="229"/>
      <c r="AD402" s="229"/>
    </row>
    <row r="403" spans="1:30" ht="15.75" customHeight="1" x14ac:dyDescent="0.2">
      <c r="A403" s="229"/>
      <c r="B403" s="229"/>
      <c r="C403" s="229"/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  <c r="AA403" s="229"/>
      <c r="AB403" s="229"/>
      <c r="AC403" s="229"/>
      <c r="AD403" s="229"/>
    </row>
    <row r="404" spans="1:30" ht="15.75" customHeight="1" x14ac:dyDescent="0.2">
      <c r="A404" s="229"/>
      <c r="B404" s="229"/>
      <c r="C404" s="229"/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  <c r="AA404" s="229"/>
      <c r="AB404" s="229"/>
      <c r="AC404" s="229"/>
      <c r="AD404" s="229"/>
    </row>
    <row r="405" spans="1:30" ht="15.75" customHeight="1" x14ac:dyDescent="0.2">
      <c r="A405" s="229"/>
      <c r="B405" s="229"/>
      <c r="C405" s="229"/>
      <c r="D405" s="229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  <c r="AA405" s="229"/>
      <c r="AB405" s="229"/>
      <c r="AC405" s="229"/>
      <c r="AD405" s="229"/>
    </row>
    <row r="406" spans="1:30" ht="15.75" customHeight="1" x14ac:dyDescent="0.2">
      <c r="A406" s="229"/>
      <c r="B406" s="229"/>
      <c r="C406" s="229"/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  <c r="AA406" s="229"/>
      <c r="AB406" s="229"/>
      <c r="AC406" s="229"/>
      <c r="AD406" s="229"/>
    </row>
    <row r="407" spans="1:30" ht="15.75" customHeight="1" x14ac:dyDescent="0.2">
      <c r="A407" s="229"/>
      <c r="B407" s="229"/>
      <c r="C407" s="229"/>
      <c r="D407" s="229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  <c r="AA407" s="229"/>
      <c r="AB407" s="229"/>
      <c r="AC407" s="229"/>
      <c r="AD407" s="229"/>
    </row>
    <row r="408" spans="1:30" ht="15.75" customHeight="1" x14ac:dyDescent="0.2">
      <c r="A408" s="229"/>
      <c r="B408" s="229"/>
      <c r="C408" s="229"/>
      <c r="D408" s="229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  <c r="AA408" s="229"/>
      <c r="AB408" s="229"/>
      <c r="AC408" s="229"/>
      <c r="AD408" s="229"/>
    </row>
    <row r="409" spans="1:30" ht="15.75" customHeight="1" x14ac:dyDescent="0.2">
      <c r="A409" s="229"/>
      <c r="B409" s="229"/>
      <c r="C409" s="229"/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  <c r="AA409" s="229"/>
      <c r="AB409" s="229"/>
      <c r="AC409" s="229"/>
      <c r="AD409" s="229"/>
    </row>
    <row r="410" spans="1:30" ht="15.75" customHeight="1" x14ac:dyDescent="0.2">
      <c r="A410" s="229"/>
      <c r="B410" s="229"/>
      <c r="C410" s="229"/>
      <c r="D410" s="229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  <c r="AA410" s="229"/>
      <c r="AB410" s="229"/>
      <c r="AC410" s="229"/>
      <c r="AD410" s="229"/>
    </row>
    <row r="411" spans="1:30" ht="15.75" customHeight="1" x14ac:dyDescent="0.2">
      <c r="A411" s="229"/>
      <c r="B411" s="229"/>
      <c r="C411" s="229"/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  <c r="AA411" s="229"/>
      <c r="AB411" s="229"/>
      <c r="AC411" s="229"/>
      <c r="AD411" s="229"/>
    </row>
    <row r="412" spans="1:30" ht="15.75" customHeight="1" x14ac:dyDescent="0.2">
      <c r="A412" s="229"/>
      <c r="B412" s="229"/>
      <c r="C412" s="229"/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  <c r="AC412" s="229"/>
      <c r="AD412" s="229"/>
    </row>
    <row r="413" spans="1:30" ht="15.75" customHeight="1" x14ac:dyDescent="0.2">
      <c r="A413" s="229"/>
      <c r="B413" s="229"/>
      <c r="C413" s="229"/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  <c r="AA413" s="229"/>
      <c r="AB413" s="229"/>
      <c r="AC413" s="229"/>
      <c r="AD413" s="229"/>
    </row>
    <row r="414" spans="1:30" ht="15.75" customHeight="1" x14ac:dyDescent="0.2">
      <c r="A414" s="229"/>
      <c r="B414" s="229"/>
      <c r="C414" s="229"/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  <c r="AA414" s="229"/>
      <c r="AB414" s="229"/>
      <c r="AC414" s="229"/>
      <c r="AD414" s="229"/>
    </row>
    <row r="415" spans="1:30" ht="15.75" customHeight="1" x14ac:dyDescent="0.2">
      <c r="A415" s="229"/>
      <c r="B415" s="229"/>
      <c r="C415" s="229"/>
      <c r="D415" s="229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  <c r="AA415" s="229"/>
      <c r="AB415" s="229"/>
      <c r="AC415" s="229"/>
      <c r="AD415" s="229"/>
    </row>
    <row r="416" spans="1:30" ht="15.75" customHeight="1" x14ac:dyDescent="0.2">
      <c r="A416" s="229"/>
      <c r="B416" s="229"/>
      <c r="C416" s="229"/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  <c r="AC416" s="229"/>
      <c r="AD416" s="229"/>
    </row>
    <row r="417" spans="1:30" ht="15.75" customHeight="1" x14ac:dyDescent="0.2">
      <c r="A417" s="229"/>
      <c r="B417" s="229"/>
      <c r="C417" s="229"/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  <c r="AA417" s="229"/>
      <c r="AB417" s="229"/>
      <c r="AC417" s="229"/>
      <c r="AD417" s="229"/>
    </row>
    <row r="418" spans="1:30" ht="15.75" customHeight="1" x14ac:dyDescent="0.2">
      <c r="A418" s="229"/>
      <c r="B418" s="229"/>
      <c r="C418" s="229"/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  <c r="AA418" s="229"/>
      <c r="AB418" s="229"/>
      <c r="AC418" s="229"/>
      <c r="AD418" s="229"/>
    </row>
    <row r="419" spans="1:30" ht="15.75" customHeight="1" x14ac:dyDescent="0.2">
      <c r="A419" s="229"/>
      <c r="B419" s="229"/>
      <c r="C419" s="229"/>
      <c r="D419" s="229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  <c r="AC419" s="229"/>
      <c r="AD419" s="229"/>
    </row>
    <row r="420" spans="1:30" ht="15.75" customHeight="1" x14ac:dyDescent="0.2">
      <c r="A420" s="229"/>
      <c r="B420" s="229"/>
      <c r="C420" s="229"/>
      <c r="D420" s="229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  <c r="AC420" s="229"/>
      <c r="AD420" s="229"/>
    </row>
    <row r="421" spans="1:30" ht="15.75" customHeight="1" x14ac:dyDescent="0.2">
      <c r="A421" s="229"/>
      <c r="B421" s="229"/>
      <c r="C421" s="229"/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  <c r="AC421" s="229"/>
      <c r="AD421" s="229"/>
    </row>
    <row r="422" spans="1:30" ht="15.75" customHeight="1" x14ac:dyDescent="0.2">
      <c r="A422" s="229"/>
      <c r="B422" s="229"/>
      <c r="C422" s="229"/>
      <c r="D422" s="229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  <c r="AA422" s="229"/>
      <c r="AB422" s="229"/>
      <c r="AC422" s="229"/>
      <c r="AD422" s="229"/>
    </row>
    <row r="423" spans="1:30" ht="15.75" customHeight="1" x14ac:dyDescent="0.2">
      <c r="A423" s="229"/>
      <c r="B423" s="229"/>
      <c r="C423" s="229"/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  <c r="AC423" s="229"/>
      <c r="AD423" s="229"/>
    </row>
    <row r="424" spans="1:30" ht="15.75" customHeight="1" x14ac:dyDescent="0.2">
      <c r="A424" s="229"/>
      <c r="B424" s="229"/>
      <c r="C424" s="229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  <c r="AA424" s="229"/>
      <c r="AB424" s="229"/>
      <c r="AC424" s="229"/>
      <c r="AD424" s="229"/>
    </row>
    <row r="425" spans="1:30" ht="15.75" customHeight="1" x14ac:dyDescent="0.2">
      <c r="A425" s="229"/>
      <c r="B425" s="229"/>
      <c r="C425" s="229"/>
      <c r="D425" s="229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  <c r="AA425" s="229"/>
      <c r="AB425" s="229"/>
      <c r="AC425" s="229"/>
      <c r="AD425" s="229"/>
    </row>
    <row r="426" spans="1:30" ht="15.75" customHeight="1" x14ac:dyDescent="0.2">
      <c r="A426" s="229"/>
      <c r="B426" s="229"/>
      <c r="C426" s="229"/>
      <c r="D426" s="229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  <c r="AA426" s="229"/>
      <c r="AB426" s="229"/>
      <c r="AC426" s="229"/>
      <c r="AD426" s="229"/>
    </row>
    <row r="427" spans="1:30" ht="15.75" customHeight="1" x14ac:dyDescent="0.2">
      <c r="A427" s="229"/>
      <c r="B427" s="229"/>
      <c r="C427" s="229"/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  <c r="AA427" s="229"/>
      <c r="AB427" s="229"/>
      <c r="AC427" s="229"/>
      <c r="AD427" s="229"/>
    </row>
    <row r="428" spans="1:30" ht="15.75" customHeight="1" x14ac:dyDescent="0.2">
      <c r="A428" s="229"/>
      <c r="B428" s="229"/>
      <c r="C428" s="229"/>
      <c r="D428" s="229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  <c r="AA428" s="229"/>
      <c r="AB428" s="229"/>
      <c r="AC428" s="229"/>
      <c r="AD428" s="229"/>
    </row>
    <row r="429" spans="1:30" ht="15.75" customHeight="1" x14ac:dyDescent="0.2">
      <c r="A429" s="229"/>
      <c r="B429" s="229"/>
      <c r="C429" s="229"/>
      <c r="D429" s="229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  <c r="AA429" s="229"/>
      <c r="AB429" s="229"/>
      <c r="AC429" s="229"/>
      <c r="AD429" s="229"/>
    </row>
    <row r="430" spans="1:30" ht="15.75" customHeight="1" x14ac:dyDescent="0.2">
      <c r="A430" s="229"/>
      <c r="B430" s="229"/>
      <c r="C430" s="229"/>
      <c r="D430" s="229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  <c r="AA430" s="229"/>
      <c r="AB430" s="229"/>
      <c r="AC430" s="229"/>
      <c r="AD430" s="229"/>
    </row>
    <row r="431" spans="1:30" ht="15.75" customHeight="1" x14ac:dyDescent="0.2">
      <c r="A431" s="229"/>
      <c r="B431" s="229"/>
      <c r="C431" s="229"/>
      <c r="D431" s="229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  <c r="AA431" s="229"/>
      <c r="AB431" s="229"/>
      <c r="AC431" s="229"/>
      <c r="AD431" s="229"/>
    </row>
    <row r="432" spans="1:30" ht="15.75" customHeight="1" x14ac:dyDescent="0.2">
      <c r="A432" s="229"/>
      <c r="B432" s="229"/>
      <c r="C432" s="229"/>
      <c r="D432" s="229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  <c r="AA432" s="229"/>
      <c r="AB432" s="229"/>
      <c r="AC432" s="229"/>
      <c r="AD432" s="229"/>
    </row>
    <row r="433" spans="1:30" ht="15.75" customHeight="1" x14ac:dyDescent="0.2">
      <c r="A433" s="229"/>
      <c r="B433" s="229"/>
      <c r="C433" s="229"/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  <c r="AA433" s="229"/>
      <c r="AB433" s="229"/>
      <c r="AC433" s="229"/>
      <c r="AD433" s="229"/>
    </row>
    <row r="434" spans="1:30" ht="15.75" customHeight="1" x14ac:dyDescent="0.2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  <c r="AA434" s="229"/>
      <c r="AB434" s="229"/>
      <c r="AC434" s="229"/>
      <c r="AD434" s="229"/>
    </row>
    <row r="435" spans="1:30" ht="15.75" customHeight="1" x14ac:dyDescent="0.2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  <c r="AA435" s="229"/>
      <c r="AB435" s="229"/>
      <c r="AC435" s="229"/>
      <c r="AD435" s="229"/>
    </row>
    <row r="436" spans="1:30" ht="15.75" customHeight="1" x14ac:dyDescent="0.2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  <c r="AA436" s="229"/>
      <c r="AB436" s="229"/>
      <c r="AC436" s="229"/>
      <c r="AD436" s="229"/>
    </row>
    <row r="437" spans="1:30" ht="15.75" customHeight="1" x14ac:dyDescent="0.2">
      <c r="A437" s="229"/>
      <c r="B437" s="229"/>
      <c r="C437" s="229"/>
      <c r="D437" s="229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  <c r="AA437" s="229"/>
      <c r="AB437" s="229"/>
      <c r="AC437" s="229"/>
      <c r="AD437" s="229"/>
    </row>
    <row r="438" spans="1:30" ht="15.75" customHeight="1" x14ac:dyDescent="0.2">
      <c r="A438" s="229"/>
      <c r="B438" s="229"/>
      <c r="C438" s="229"/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  <c r="AA438" s="229"/>
      <c r="AB438" s="229"/>
      <c r="AC438" s="229"/>
      <c r="AD438" s="229"/>
    </row>
    <row r="439" spans="1:30" ht="15.75" customHeight="1" x14ac:dyDescent="0.2">
      <c r="A439" s="229"/>
      <c r="B439" s="229"/>
      <c r="C439" s="229"/>
      <c r="D439" s="229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  <c r="AA439" s="229"/>
      <c r="AB439" s="229"/>
      <c r="AC439" s="229"/>
      <c r="AD439" s="229"/>
    </row>
    <row r="440" spans="1:30" ht="15.75" customHeight="1" x14ac:dyDescent="0.2">
      <c r="A440" s="229"/>
      <c r="B440" s="229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  <c r="AA440" s="229"/>
      <c r="AB440" s="229"/>
      <c r="AC440" s="229"/>
      <c r="AD440" s="229"/>
    </row>
    <row r="441" spans="1:30" ht="15.75" customHeight="1" x14ac:dyDescent="0.2">
      <c r="A441" s="229"/>
      <c r="B441" s="229"/>
      <c r="C441" s="229"/>
      <c r="D441" s="229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  <c r="AA441" s="229"/>
      <c r="AB441" s="229"/>
      <c r="AC441" s="229"/>
      <c r="AD441" s="229"/>
    </row>
    <row r="442" spans="1:30" ht="15.75" customHeight="1" x14ac:dyDescent="0.2">
      <c r="A442" s="229"/>
      <c r="B442" s="229"/>
      <c r="C442" s="229"/>
      <c r="D442" s="229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  <c r="AA442" s="229"/>
      <c r="AB442" s="229"/>
      <c r="AC442" s="229"/>
      <c r="AD442" s="229"/>
    </row>
    <row r="443" spans="1:30" ht="15.75" customHeight="1" x14ac:dyDescent="0.2">
      <c r="A443" s="229"/>
      <c r="B443" s="229"/>
      <c r="C443" s="229"/>
      <c r="D443" s="229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  <c r="AA443" s="229"/>
      <c r="AB443" s="229"/>
      <c r="AC443" s="229"/>
      <c r="AD443" s="229"/>
    </row>
    <row r="444" spans="1:30" ht="15.75" customHeight="1" x14ac:dyDescent="0.2">
      <c r="A444" s="229"/>
      <c r="B444" s="229"/>
      <c r="C444" s="229"/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  <c r="AA444" s="229"/>
      <c r="AB444" s="229"/>
      <c r="AC444" s="229"/>
      <c r="AD444" s="229"/>
    </row>
    <row r="445" spans="1:30" ht="15.75" customHeight="1" x14ac:dyDescent="0.2">
      <c r="A445" s="229"/>
      <c r="B445" s="229"/>
      <c r="C445" s="229"/>
      <c r="D445" s="229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  <c r="AA445" s="229"/>
      <c r="AB445" s="229"/>
      <c r="AC445" s="229"/>
      <c r="AD445" s="229"/>
    </row>
    <row r="446" spans="1:30" ht="15.75" customHeight="1" x14ac:dyDescent="0.2">
      <c r="A446" s="229"/>
      <c r="B446" s="229"/>
      <c r="C446" s="229"/>
      <c r="D446" s="229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  <c r="AA446" s="229"/>
      <c r="AB446" s="229"/>
      <c r="AC446" s="229"/>
      <c r="AD446" s="229"/>
    </row>
    <row r="447" spans="1:30" ht="15.75" customHeight="1" x14ac:dyDescent="0.2">
      <c r="A447" s="229"/>
      <c r="B447" s="229"/>
      <c r="C447" s="229"/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  <c r="AA447" s="229"/>
      <c r="AB447" s="229"/>
      <c r="AC447" s="229"/>
      <c r="AD447" s="229"/>
    </row>
    <row r="448" spans="1:30" ht="15.75" customHeight="1" x14ac:dyDescent="0.2">
      <c r="A448" s="229"/>
      <c r="B448" s="229"/>
      <c r="C448" s="229"/>
      <c r="D448" s="229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  <c r="AA448" s="229"/>
      <c r="AB448" s="229"/>
      <c r="AC448" s="229"/>
      <c r="AD448" s="229"/>
    </row>
    <row r="449" spans="1:30" ht="15.75" customHeight="1" x14ac:dyDescent="0.2">
      <c r="A449" s="229"/>
      <c r="B449" s="229"/>
      <c r="C449" s="229"/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  <c r="AA449" s="229"/>
      <c r="AB449" s="229"/>
      <c r="AC449" s="229"/>
      <c r="AD449" s="229"/>
    </row>
    <row r="450" spans="1:30" ht="15.75" customHeight="1" x14ac:dyDescent="0.2">
      <c r="A450" s="229"/>
      <c r="B450" s="229"/>
      <c r="C450" s="229"/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  <c r="AA450" s="229"/>
      <c r="AB450" s="229"/>
      <c r="AC450" s="229"/>
      <c r="AD450" s="229"/>
    </row>
    <row r="451" spans="1:30" ht="15.75" customHeight="1" x14ac:dyDescent="0.2">
      <c r="A451" s="229"/>
      <c r="B451" s="229"/>
      <c r="C451" s="229"/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  <c r="AA451" s="229"/>
      <c r="AB451" s="229"/>
      <c r="AC451" s="229"/>
      <c r="AD451" s="229"/>
    </row>
    <row r="452" spans="1:30" ht="15.75" customHeight="1" x14ac:dyDescent="0.2">
      <c r="A452" s="229"/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  <c r="AC452" s="229"/>
      <c r="AD452" s="229"/>
    </row>
    <row r="453" spans="1:30" ht="15.75" customHeight="1" x14ac:dyDescent="0.2">
      <c r="A453" s="229"/>
      <c r="B453" s="229"/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  <c r="AA453" s="229"/>
      <c r="AB453" s="229"/>
      <c r="AC453" s="229"/>
      <c r="AD453" s="229"/>
    </row>
    <row r="454" spans="1:30" ht="15.75" customHeight="1" x14ac:dyDescent="0.2">
      <c r="A454" s="229"/>
      <c r="B454" s="229"/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  <c r="AA454" s="229"/>
      <c r="AB454" s="229"/>
      <c r="AC454" s="229"/>
      <c r="AD454" s="229"/>
    </row>
    <row r="455" spans="1:30" ht="15.75" customHeight="1" x14ac:dyDescent="0.2">
      <c r="A455" s="229"/>
      <c r="B455" s="229"/>
      <c r="C455" s="229"/>
      <c r="D455" s="229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  <c r="AA455" s="229"/>
      <c r="AB455" s="229"/>
      <c r="AC455" s="229"/>
      <c r="AD455" s="229"/>
    </row>
    <row r="456" spans="1:30" ht="15.75" customHeight="1" x14ac:dyDescent="0.2">
      <c r="A456" s="229"/>
      <c r="B456" s="229"/>
      <c r="C456" s="229"/>
      <c r="D456" s="229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  <c r="AA456" s="229"/>
      <c r="AB456" s="229"/>
      <c r="AC456" s="229"/>
      <c r="AD456" s="229"/>
    </row>
    <row r="457" spans="1:30" ht="15.75" customHeight="1" x14ac:dyDescent="0.2">
      <c r="A457" s="229"/>
      <c r="B457" s="229"/>
      <c r="C457" s="229"/>
      <c r="D457" s="229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  <c r="AA457" s="229"/>
      <c r="AB457" s="229"/>
      <c r="AC457" s="229"/>
      <c r="AD457" s="229"/>
    </row>
    <row r="458" spans="1:30" ht="15.75" customHeight="1" x14ac:dyDescent="0.2">
      <c r="A458" s="229"/>
      <c r="B458" s="229"/>
      <c r="C458" s="229"/>
      <c r="D458" s="229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  <c r="AA458" s="229"/>
      <c r="AB458" s="229"/>
      <c r="AC458" s="229"/>
      <c r="AD458" s="229"/>
    </row>
    <row r="459" spans="1:30" ht="15.75" customHeight="1" x14ac:dyDescent="0.2">
      <c r="A459" s="229"/>
      <c r="B459" s="229"/>
      <c r="C459" s="229"/>
      <c r="D459" s="229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  <c r="AA459" s="229"/>
      <c r="AB459" s="229"/>
      <c r="AC459" s="229"/>
      <c r="AD459" s="229"/>
    </row>
    <row r="460" spans="1:30" ht="15.75" customHeight="1" x14ac:dyDescent="0.2">
      <c r="A460" s="229"/>
      <c r="B460" s="229"/>
      <c r="C460" s="229"/>
      <c r="D460" s="229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  <c r="AA460" s="229"/>
      <c r="AB460" s="229"/>
      <c r="AC460" s="229"/>
      <c r="AD460" s="229"/>
    </row>
    <row r="461" spans="1:30" ht="15.75" customHeight="1" x14ac:dyDescent="0.2">
      <c r="A461" s="229"/>
      <c r="B461" s="229"/>
      <c r="C461" s="229"/>
      <c r="D461" s="229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  <c r="AA461" s="229"/>
      <c r="AB461" s="229"/>
      <c r="AC461" s="229"/>
      <c r="AD461" s="229"/>
    </row>
    <row r="462" spans="1:30" ht="15.75" customHeight="1" x14ac:dyDescent="0.2">
      <c r="A462" s="229"/>
      <c r="B462" s="229"/>
      <c r="C462" s="229"/>
      <c r="D462" s="229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  <c r="AA462" s="229"/>
      <c r="AB462" s="229"/>
      <c r="AC462" s="229"/>
      <c r="AD462" s="229"/>
    </row>
    <row r="463" spans="1:30" ht="15.75" customHeight="1" x14ac:dyDescent="0.2">
      <c r="A463" s="229"/>
      <c r="B463" s="229"/>
      <c r="C463" s="229"/>
      <c r="D463" s="229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  <c r="AA463" s="229"/>
      <c r="AB463" s="229"/>
      <c r="AC463" s="229"/>
      <c r="AD463" s="229"/>
    </row>
    <row r="464" spans="1:30" ht="15.75" customHeight="1" x14ac:dyDescent="0.2">
      <c r="A464" s="229"/>
      <c r="B464" s="229"/>
      <c r="C464" s="229"/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  <c r="AA464" s="229"/>
      <c r="AB464" s="229"/>
      <c r="AC464" s="229"/>
      <c r="AD464" s="229"/>
    </row>
    <row r="465" spans="1:30" ht="15.75" customHeight="1" x14ac:dyDescent="0.2">
      <c r="A465" s="229"/>
      <c r="B465" s="229"/>
      <c r="C465" s="229"/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  <c r="AA465" s="229"/>
      <c r="AB465" s="229"/>
      <c r="AC465" s="229"/>
      <c r="AD465" s="229"/>
    </row>
    <row r="466" spans="1:30" ht="15.75" customHeight="1" x14ac:dyDescent="0.2">
      <c r="A466" s="229"/>
      <c r="B466" s="229"/>
      <c r="C466" s="229"/>
      <c r="D466" s="229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  <c r="AA466" s="229"/>
      <c r="AB466" s="229"/>
      <c r="AC466" s="229"/>
      <c r="AD466" s="229"/>
    </row>
    <row r="467" spans="1:30" ht="15.75" customHeight="1" x14ac:dyDescent="0.2">
      <c r="A467" s="229"/>
      <c r="B467" s="229"/>
      <c r="C467" s="229"/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  <c r="AA467" s="229"/>
      <c r="AB467" s="229"/>
      <c r="AC467" s="229"/>
      <c r="AD467" s="229"/>
    </row>
    <row r="468" spans="1:30" ht="15.75" customHeight="1" x14ac:dyDescent="0.2">
      <c r="A468" s="229"/>
      <c r="B468" s="229"/>
      <c r="C468" s="229"/>
      <c r="D468" s="229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  <c r="AA468" s="229"/>
      <c r="AB468" s="229"/>
      <c r="AC468" s="229"/>
      <c r="AD468" s="229"/>
    </row>
    <row r="469" spans="1:30" ht="15.75" customHeight="1" x14ac:dyDescent="0.2">
      <c r="A469" s="229"/>
      <c r="B469" s="229"/>
      <c r="C469" s="229"/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  <c r="AA469" s="229"/>
      <c r="AB469" s="229"/>
      <c r="AC469" s="229"/>
      <c r="AD469" s="229"/>
    </row>
    <row r="470" spans="1:30" ht="15.75" customHeight="1" x14ac:dyDescent="0.2">
      <c r="A470" s="229"/>
      <c r="B470" s="229"/>
      <c r="C470" s="229"/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  <c r="AA470" s="229"/>
      <c r="AB470" s="229"/>
      <c r="AC470" s="229"/>
      <c r="AD470" s="229"/>
    </row>
    <row r="471" spans="1:30" ht="15.75" customHeight="1" x14ac:dyDescent="0.2">
      <c r="A471" s="229"/>
      <c r="B471" s="229"/>
      <c r="C471" s="229"/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  <c r="AA471" s="229"/>
      <c r="AB471" s="229"/>
      <c r="AC471" s="229"/>
      <c r="AD471" s="229"/>
    </row>
    <row r="472" spans="1:30" ht="15.75" customHeight="1" x14ac:dyDescent="0.2">
      <c r="A472" s="229"/>
      <c r="B472" s="229"/>
      <c r="C472" s="229"/>
      <c r="D472" s="229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  <c r="AA472" s="229"/>
      <c r="AB472" s="229"/>
      <c r="AC472" s="229"/>
      <c r="AD472" s="229"/>
    </row>
    <row r="473" spans="1:30" ht="15.75" customHeight="1" x14ac:dyDescent="0.2">
      <c r="A473" s="229"/>
      <c r="B473" s="229"/>
      <c r="C473" s="229"/>
      <c r="D473" s="229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  <c r="AA473" s="229"/>
      <c r="AB473" s="229"/>
      <c r="AC473" s="229"/>
      <c r="AD473" s="229"/>
    </row>
    <row r="474" spans="1:30" ht="15.75" customHeight="1" x14ac:dyDescent="0.2">
      <c r="A474" s="229"/>
      <c r="B474" s="229"/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  <c r="AA474" s="229"/>
      <c r="AB474" s="229"/>
      <c r="AC474" s="229"/>
      <c r="AD474" s="229"/>
    </row>
    <row r="475" spans="1:30" ht="15.75" customHeight="1" x14ac:dyDescent="0.2">
      <c r="A475" s="229"/>
      <c r="B475" s="229"/>
      <c r="C475" s="229"/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  <c r="AA475" s="229"/>
      <c r="AB475" s="229"/>
      <c r="AC475" s="229"/>
      <c r="AD475" s="229"/>
    </row>
    <row r="476" spans="1:30" ht="15.75" customHeight="1" x14ac:dyDescent="0.2">
      <c r="A476" s="229"/>
      <c r="B476" s="229"/>
      <c r="C476" s="229"/>
      <c r="D476" s="229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  <c r="AA476" s="229"/>
      <c r="AB476" s="229"/>
      <c r="AC476" s="229"/>
      <c r="AD476" s="229"/>
    </row>
    <row r="477" spans="1:30" ht="15.75" customHeight="1" x14ac:dyDescent="0.2">
      <c r="A477" s="229"/>
      <c r="B477" s="229"/>
      <c r="C477" s="229"/>
      <c r="D477" s="229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  <c r="AA477" s="229"/>
      <c r="AB477" s="229"/>
      <c r="AC477" s="229"/>
      <c r="AD477" s="229"/>
    </row>
    <row r="478" spans="1:30" ht="15.75" customHeight="1" x14ac:dyDescent="0.2">
      <c r="A478" s="229"/>
      <c r="B478" s="229"/>
      <c r="C478" s="229"/>
      <c r="D478" s="229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  <c r="AA478" s="229"/>
      <c r="AB478" s="229"/>
      <c r="AC478" s="229"/>
      <c r="AD478" s="229"/>
    </row>
    <row r="479" spans="1:30" ht="15.75" customHeight="1" x14ac:dyDescent="0.2">
      <c r="A479" s="229"/>
      <c r="B479" s="229"/>
      <c r="C479" s="229"/>
      <c r="D479" s="229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  <c r="AA479" s="229"/>
      <c r="AB479" s="229"/>
      <c r="AC479" s="229"/>
      <c r="AD479" s="229"/>
    </row>
    <row r="480" spans="1:30" ht="15.75" customHeight="1" x14ac:dyDescent="0.2">
      <c r="A480" s="229"/>
      <c r="B480" s="229"/>
      <c r="C480" s="229"/>
      <c r="D480" s="229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  <c r="AA480" s="229"/>
      <c r="AB480" s="229"/>
      <c r="AC480" s="229"/>
      <c r="AD480" s="229"/>
    </row>
    <row r="481" spans="1:30" ht="15.75" customHeight="1" x14ac:dyDescent="0.2">
      <c r="A481" s="229"/>
      <c r="B481" s="229"/>
      <c r="C481" s="229"/>
      <c r="D481" s="229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  <c r="AA481" s="229"/>
      <c r="AB481" s="229"/>
      <c r="AC481" s="229"/>
      <c r="AD481" s="229"/>
    </row>
    <row r="482" spans="1:30" ht="15.75" customHeight="1" x14ac:dyDescent="0.2">
      <c r="A482" s="229"/>
      <c r="B482" s="229"/>
      <c r="C482" s="229"/>
      <c r="D482" s="229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  <c r="AA482" s="229"/>
      <c r="AB482" s="229"/>
      <c r="AC482" s="229"/>
      <c r="AD482" s="229"/>
    </row>
    <row r="483" spans="1:30" ht="15.75" customHeight="1" x14ac:dyDescent="0.2">
      <c r="A483" s="229"/>
      <c r="B483" s="229"/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  <c r="AA483" s="229"/>
      <c r="AB483" s="229"/>
      <c r="AC483" s="229"/>
      <c r="AD483" s="229"/>
    </row>
    <row r="484" spans="1:30" ht="15.75" customHeight="1" x14ac:dyDescent="0.2">
      <c r="A484" s="229"/>
      <c r="B484" s="229"/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  <c r="AA484" s="229"/>
      <c r="AB484" s="229"/>
      <c r="AC484" s="229"/>
      <c r="AD484" s="229"/>
    </row>
    <row r="485" spans="1:30" ht="15.75" customHeight="1" x14ac:dyDescent="0.2">
      <c r="A485" s="229"/>
      <c r="B485" s="229"/>
      <c r="C485" s="229"/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  <c r="AA485" s="229"/>
      <c r="AB485" s="229"/>
      <c r="AC485" s="229"/>
      <c r="AD485" s="229"/>
    </row>
    <row r="486" spans="1:30" ht="15.75" customHeight="1" x14ac:dyDescent="0.2">
      <c r="A486" s="229"/>
      <c r="B486" s="229"/>
      <c r="C486" s="229"/>
      <c r="D486" s="229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  <c r="AA486" s="229"/>
      <c r="AB486" s="229"/>
      <c r="AC486" s="229"/>
      <c r="AD486" s="229"/>
    </row>
    <row r="487" spans="1:30" ht="15.75" customHeight="1" x14ac:dyDescent="0.2">
      <c r="A487" s="229"/>
      <c r="B487" s="229"/>
      <c r="C487" s="229"/>
      <c r="D487" s="229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  <c r="AC487" s="229"/>
      <c r="AD487" s="229"/>
    </row>
    <row r="488" spans="1:30" ht="15.75" customHeight="1" x14ac:dyDescent="0.2">
      <c r="A488" s="229"/>
      <c r="B488" s="229"/>
      <c r="C488" s="229"/>
      <c r="D488" s="229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  <c r="AA488" s="229"/>
      <c r="AB488" s="229"/>
      <c r="AC488" s="229"/>
      <c r="AD488" s="229"/>
    </row>
    <row r="489" spans="1:30" ht="15.75" customHeight="1" x14ac:dyDescent="0.2">
      <c r="A489" s="229"/>
      <c r="B489" s="229"/>
      <c r="C489" s="229"/>
      <c r="D489" s="229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  <c r="AA489" s="229"/>
      <c r="AB489" s="229"/>
      <c r="AC489" s="229"/>
      <c r="AD489" s="229"/>
    </row>
    <row r="490" spans="1:30" ht="15.75" customHeight="1" x14ac:dyDescent="0.2">
      <c r="A490" s="229"/>
      <c r="B490" s="229"/>
      <c r="C490" s="229"/>
      <c r="D490" s="229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  <c r="AA490" s="229"/>
      <c r="AB490" s="229"/>
      <c r="AC490" s="229"/>
      <c r="AD490" s="229"/>
    </row>
    <row r="491" spans="1:30" ht="15.75" customHeight="1" x14ac:dyDescent="0.2">
      <c r="A491" s="229"/>
      <c r="B491" s="229"/>
      <c r="C491" s="229"/>
      <c r="D491" s="229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  <c r="AA491" s="229"/>
      <c r="AB491" s="229"/>
      <c r="AC491" s="229"/>
      <c r="AD491" s="229"/>
    </row>
    <row r="492" spans="1:30" ht="15.75" customHeight="1" x14ac:dyDescent="0.2">
      <c r="A492" s="229"/>
      <c r="B492" s="229"/>
      <c r="C492" s="229"/>
      <c r="D492" s="229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  <c r="AA492" s="229"/>
      <c r="AB492" s="229"/>
      <c r="AC492" s="229"/>
      <c r="AD492" s="229"/>
    </row>
    <row r="493" spans="1:30" ht="15.75" customHeight="1" x14ac:dyDescent="0.2">
      <c r="A493" s="229"/>
      <c r="B493" s="229"/>
      <c r="C493" s="229"/>
      <c r="D493" s="229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  <c r="AA493" s="229"/>
      <c r="AB493" s="229"/>
      <c r="AC493" s="229"/>
      <c r="AD493" s="229"/>
    </row>
    <row r="494" spans="1:30" ht="15.75" customHeight="1" x14ac:dyDescent="0.2">
      <c r="A494" s="229"/>
      <c r="B494" s="229"/>
      <c r="C494" s="229"/>
      <c r="D494" s="229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  <c r="AA494" s="229"/>
      <c r="AB494" s="229"/>
      <c r="AC494" s="229"/>
      <c r="AD494" s="229"/>
    </row>
    <row r="495" spans="1:30" ht="15.75" customHeight="1" x14ac:dyDescent="0.2">
      <c r="A495" s="229"/>
      <c r="B495" s="229"/>
      <c r="C495" s="229"/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  <c r="AA495" s="229"/>
      <c r="AB495" s="229"/>
      <c r="AC495" s="229"/>
      <c r="AD495" s="229"/>
    </row>
    <row r="496" spans="1:30" ht="15.75" customHeight="1" x14ac:dyDescent="0.2">
      <c r="A496" s="229"/>
      <c r="B496" s="229"/>
      <c r="C496" s="229"/>
      <c r="D496" s="229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  <c r="AA496" s="229"/>
      <c r="AB496" s="229"/>
      <c r="AC496" s="229"/>
      <c r="AD496" s="229"/>
    </row>
    <row r="497" spans="1:30" ht="15.75" customHeight="1" x14ac:dyDescent="0.2">
      <c r="A497" s="229"/>
      <c r="B497" s="229"/>
      <c r="C497" s="229"/>
      <c r="D497" s="229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  <c r="AA497" s="229"/>
      <c r="AB497" s="229"/>
      <c r="AC497" s="229"/>
      <c r="AD497" s="229"/>
    </row>
    <row r="498" spans="1:30" ht="15.75" customHeight="1" x14ac:dyDescent="0.2">
      <c r="A498" s="229"/>
      <c r="B498" s="229"/>
      <c r="C498" s="229"/>
      <c r="D498" s="229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  <c r="AA498" s="229"/>
      <c r="AB498" s="229"/>
      <c r="AC498" s="229"/>
      <c r="AD498" s="229"/>
    </row>
    <row r="499" spans="1:30" ht="15.75" customHeight="1" x14ac:dyDescent="0.2">
      <c r="A499" s="229"/>
      <c r="B499" s="229"/>
      <c r="C499" s="229"/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  <c r="AA499" s="229"/>
      <c r="AB499" s="229"/>
      <c r="AC499" s="229"/>
      <c r="AD499" s="229"/>
    </row>
    <row r="500" spans="1:30" ht="15.75" customHeight="1" x14ac:dyDescent="0.2">
      <c r="A500" s="229"/>
      <c r="B500" s="229"/>
      <c r="C500" s="229"/>
      <c r="D500" s="229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  <c r="AA500" s="229"/>
      <c r="AB500" s="229"/>
      <c r="AC500" s="229"/>
      <c r="AD500" s="229"/>
    </row>
    <row r="501" spans="1:30" ht="15.75" customHeight="1" x14ac:dyDescent="0.2">
      <c r="A501" s="229"/>
      <c r="B501" s="229"/>
      <c r="C501" s="229"/>
      <c r="D501" s="229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  <c r="AA501" s="229"/>
      <c r="AB501" s="229"/>
      <c r="AC501" s="229"/>
      <c r="AD501" s="229"/>
    </row>
    <row r="502" spans="1:30" ht="15.75" customHeight="1" x14ac:dyDescent="0.2">
      <c r="A502" s="229"/>
      <c r="B502" s="229"/>
      <c r="C502" s="229"/>
      <c r="D502" s="229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  <c r="AA502" s="229"/>
      <c r="AB502" s="229"/>
      <c r="AC502" s="229"/>
      <c r="AD502" s="229"/>
    </row>
    <row r="503" spans="1:30" ht="15.75" customHeight="1" x14ac:dyDescent="0.2">
      <c r="A503" s="229"/>
      <c r="B503" s="229"/>
      <c r="C503" s="229"/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  <c r="AA503" s="229"/>
      <c r="AB503" s="229"/>
      <c r="AC503" s="229"/>
      <c r="AD503" s="229"/>
    </row>
    <row r="504" spans="1:30" ht="15.75" customHeight="1" x14ac:dyDescent="0.2">
      <c r="A504" s="229"/>
      <c r="B504" s="229"/>
      <c r="C504" s="229"/>
      <c r="D504" s="229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  <c r="AA504" s="229"/>
      <c r="AB504" s="229"/>
      <c r="AC504" s="229"/>
      <c r="AD504" s="229"/>
    </row>
    <row r="505" spans="1:30" ht="15.75" customHeight="1" x14ac:dyDescent="0.2">
      <c r="A505" s="229"/>
      <c r="B505" s="229"/>
      <c r="C505" s="229"/>
      <c r="D505" s="229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  <c r="AA505" s="229"/>
      <c r="AB505" s="229"/>
      <c r="AC505" s="229"/>
      <c r="AD505" s="229"/>
    </row>
    <row r="506" spans="1:30" ht="15.75" customHeight="1" x14ac:dyDescent="0.2">
      <c r="A506" s="229"/>
      <c r="B506" s="229"/>
      <c r="C506" s="229"/>
      <c r="D506" s="229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  <c r="AA506" s="229"/>
      <c r="AB506" s="229"/>
      <c r="AC506" s="229"/>
      <c r="AD506" s="229"/>
    </row>
    <row r="507" spans="1:30" ht="15.75" customHeight="1" x14ac:dyDescent="0.2">
      <c r="A507" s="229"/>
      <c r="B507" s="229"/>
      <c r="C507" s="229"/>
      <c r="D507" s="229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  <c r="AA507" s="229"/>
      <c r="AB507" s="229"/>
      <c r="AC507" s="229"/>
      <c r="AD507" s="229"/>
    </row>
    <row r="508" spans="1:30" ht="15.75" customHeight="1" x14ac:dyDescent="0.2">
      <c r="A508" s="229"/>
      <c r="B508" s="229"/>
      <c r="C508" s="229"/>
      <c r="D508" s="229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  <c r="AA508" s="229"/>
      <c r="AB508" s="229"/>
      <c r="AC508" s="229"/>
      <c r="AD508" s="229"/>
    </row>
    <row r="509" spans="1:30" ht="15.75" customHeight="1" x14ac:dyDescent="0.2">
      <c r="A509" s="229"/>
      <c r="B509" s="229"/>
      <c r="C509" s="229"/>
      <c r="D509" s="229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  <c r="AA509" s="229"/>
      <c r="AB509" s="229"/>
      <c r="AC509" s="229"/>
      <c r="AD509" s="229"/>
    </row>
    <row r="510" spans="1:30" ht="15.75" customHeight="1" x14ac:dyDescent="0.2">
      <c r="A510" s="229"/>
      <c r="B510" s="229"/>
      <c r="C510" s="229"/>
      <c r="D510" s="229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  <c r="AA510" s="229"/>
      <c r="AB510" s="229"/>
      <c r="AC510" s="229"/>
      <c r="AD510" s="229"/>
    </row>
    <row r="511" spans="1:30" ht="15.75" customHeight="1" x14ac:dyDescent="0.2">
      <c r="A511" s="229"/>
      <c r="B511" s="229"/>
      <c r="C511" s="229"/>
      <c r="D511" s="229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  <c r="AA511" s="229"/>
      <c r="AB511" s="229"/>
      <c r="AC511" s="229"/>
      <c r="AD511" s="229"/>
    </row>
    <row r="512" spans="1:30" ht="15.75" customHeight="1" x14ac:dyDescent="0.2">
      <c r="A512" s="229"/>
      <c r="B512" s="229"/>
      <c r="C512" s="229"/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  <c r="AA512" s="229"/>
      <c r="AB512" s="229"/>
      <c r="AC512" s="229"/>
      <c r="AD512" s="229"/>
    </row>
    <row r="513" spans="1:30" ht="15.75" customHeight="1" x14ac:dyDescent="0.2">
      <c r="A513" s="229"/>
      <c r="B513" s="229"/>
      <c r="C513" s="229"/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  <c r="AA513" s="229"/>
      <c r="AB513" s="229"/>
      <c r="AC513" s="229"/>
      <c r="AD513" s="229"/>
    </row>
    <row r="514" spans="1:30" ht="15.75" customHeight="1" x14ac:dyDescent="0.2">
      <c r="A514" s="229"/>
      <c r="B514" s="229"/>
      <c r="C514" s="229"/>
      <c r="D514" s="229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  <c r="AA514" s="229"/>
      <c r="AB514" s="229"/>
      <c r="AC514" s="229"/>
      <c r="AD514" s="229"/>
    </row>
    <row r="515" spans="1:30" ht="15.75" customHeight="1" x14ac:dyDescent="0.2">
      <c r="A515" s="229"/>
      <c r="B515" s="229"/>
      <c r="C515" s="229"/>
      <c r="D515" s="229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  <c r="AA515" s="229"/>
      <c r="AB515" s="229"/>
      <c r="AC515" s="229"/>
      <c r="AD515" s="229"/>
    </row>
    <row r="516" spans="1:30" ht="15.75" customHeight="1" x14ac:dyDescent="0.2">
      <c r="A516" s="229"/>
      <c r="B516" s="229"/>
      <c r="C516" s="229"/>
      <c r="D516" s="229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  <c r="AA516" s="229"/>
      <c r="AB516" s="229"/>
      <c r="AC516" s="229"/>
      <c r="AD516" s="229"/>
    </row>
    <row r="517" spans="1:30" ht="15.75" customHeight="1" x14ac:dyDescent="0.2">
      <c r="A517" s="229"/>
      <c r="B517" s="229"/>
      <c r="C517" s="229"/>
      <c r="D517" s="229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  <c r="AA517" s="229"/>
      <c r="AB517" s="229"/>
      <c r="AC517" s="229"/>
      <c r="AD517" s="229"/>
    </row>
    <row r="518" spans="1:30" ht="15.75" customHeight="1" x14ac:dyDescent="0.2">
      <c r="A518" s="229"/>
      <c r="B518" s="229"/>
      <c r="C518" s="229"/>
      <c r="D518" s="229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  <c r="AA518" s="229"/>
      <c r="AB518" s="229"/>
      <c r="AC518" s="229"/>
      <c r="AD518" s="229"/>
    </row>
    <row r="519" spans="1:30" ht="15.75" customHeight="1" x14ac:dyDescent="0.2">
      <c r="A519" s="229"/>
      <c r="B519" s="229"/>
      <c r="C519" s="229"/>
      <c r="D519" s="229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  <c r="AA519" s="229"/>
      <c r="AB519" s="229"/>
      <c r="AC519" s="229"/>
      <c r="AD519" s="229"/>
    </row>
    <row r="520" spans="1:30" ht="15.75" customHeight="1" x14ac:dyDescent="0.2">
      <c r="A520" s="229"/>
      <c r="B520" s="229"/>
      <c r="C520" s="229"/>
      <c r="D520" s="229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  <c r="AA520" s="229"/>
      <c r="AB520" s="229"/>
      <c r="AC520" s="229"/>
      <c r="AD520" s="229"/>
    </row>
    <row r="521" spans="1:30" ht="15.75" customHeight="1" x14ac:dyDescent="0.2">
      <c r="A521" s="229"/>
      <c r="B521" s="229"/>
      <c r="C521" s="229"/>
      <c r="D521" s="229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  <c r="AA521" s="229"/>
      <c r="AB521" s="229"/>
      <c r="AC521" s="229"/>
      <c r="AD521" s="229"/>
    </row>
    <row r="522" spans="1:30" ht="15.75" customHeight="1" x14ac:dyDescent="0.2">
      <c r="A522" s="229"/>
      <c r="B522" s="229"/>
      <c r="C522" s="229"/>
      <c r="D522" s="229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  <c r="AA522" s="229"/>
      <c r="AB522" s="229"/>
      <c r="AC522" s="229"/>
      <c r="AD522" s="229"/>
    </row>
    <row r="523" spans="1:30" ht="15.75" customHeight="1" x14ac:dyDescent="0.2">
      <c r="A523" s="229"/>
      <c r="B523" s="229"/>
      <c r="C523" s="229"/>
      <c r="D523" s="229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  <c r="AA523" s="229"/>
      <c r="AB523" s="229"/>
      <c r="AC523" s="229"/>
      <c r="AD523" s="229"/>
    </row>
    <row r="524" spans="1:30" ht="15.75" customHeight="1" x14ac:dyDescent="0.2">
      <c r="A524" s="229"/>
      <c r="B524" s="229"/>
      <c r="C524" s="229"/>
      <c r="D524" s="229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  <c r="AA524" s="229"/>
      <c r="AB524" s="229"/>
      <c r="AC524" s="229"/>
      <c r="AD524" s="229"/>
    </row>
    <row r="525" spans="1:30" ht="15.75" customHeight="1" x14ac:dyDescent="0.2">
      <c r="A525" s="229"/>
      <c r="B525" s="229"/>
      <c r="C525" s="229"/>
      <c r="D525" s="229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  <c r="AA525" s="229"/>
      <c r="AB525" s="229"/>
      <c r="AC525" s="229"/>
      <c r="AD525" s="229"/>
    </row>
    <row r="526" spans="1:30" ht="15.75" customHeight="1" x14ac:dyDescent="0.2">
      <c r="A526" s="229"/>
      <c r="B526" s="229"/>
      <c r="C526" s="229"/>
      <c r="D526" s="229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  <c r="AA526" s="229"/>
      <c r="AB526" s="229"/>
      <c r="AC526" s="229"/>
      <c r="AD526" s="229"/>
    </row>
    <row r="527" spans="1:30" ht="15.75" customHeight="1" x14ac:dyDescent="0.2">
      <c r="A527" s="229"/>
      <c r="B527" s="229"/>
      <c r="C527" s="229"/>
      <c r="D527" s="229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  <c r="AA527" s="229"/>
      <c r="AB527" s="229"/>
      <c r="AC527" s="229"/>
      <c r="AD527" s="229"/>
    </row>
    <row r="528" spans="1:30" ht="15.75" customHeight="1" x14ac:dyDescent="0.2">
      <c r="A528" s="229"/>
      <c r="B528" s="229"/>
      <c r="C528" s="229"/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  <c r="AA528" s="229"/>
      <c r="AB528" s="229"/>
      <c r="AC528" s="229"/>
      <c r="AD528" s="229"/>
    </row>
    <row r="529" spans="1:30" ht="15.75" customHeight="1" x14ac:dyDescent="0.2">
      <c r="A529" s="229"/>
      <c r="B529" s="229"/>
      <c r="C529" s="229"/>
      <c r="D529" s="229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  <c r="AC529" s="229"/>
      <c r="AD529" s="229"/>
    </row>
    <row r="530" spans="1:30" ht="15.75" customHeight="1" x14ac:dyDescent="0.2">
      <c r="A530" s="229"/>
      <c r="B530" s="229"/>
      <c r="C530" s="229"/>
      <c r="D530" s="229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  <c r="AA530" s="229"/>
      <c r="AB530" s="229"/>
      <c r="AC530" s="229"/>
      <c r="AD530" s="229"/>
    </row>
    <row r="531" spans="1:30" ht="15.75" customHeight="1" x14ac:dyDescent="0.2">
      <c r="A531" s="229"/>
      <c r="B531" s="229"/>
      <c r="C531" s="229"/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  <c r="AA531" s="229"/>
      <c r="AB531" s="229"/>
      <c r="AC531" s="229"/>
      <c r="AD531" s="229"/>
    </row>
    <row r="532" spans="1:30" ht="15.75" customHeight="1" x14ac:dyDescent="0.2">
      <c r="A532" s="229"/>
      <c r="B532" s="229"/>
      <c r="C532" s="229"/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  <c r="AA532" s="229"/>
      <c r="AB532" s="229"/>
      <c r="AC532" s="229"/>
      <c r="AD532" s="229"/>
    </row>
    <row r="533" spans="1:30" ht="15.75" customHeight="1" x14ac:dyDescent="0.2">
      <c r="A533" s="229"/>
      <c r="B533" s="229"/>
      <c r="C533" s="229"/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  <c r="AA533" s="229"/>
      <c r="AB533" s="229"/>
      <c r="AC533" s="229"/>
      <c r="AD533" s="229"/>
    </row>
    <row r="534" spans="1:30" ht="15.75" customHeight="1" x14ac:dyDescent="0.2">
      <c r="A534" s="229"/>
      <c r="B534" s="229"/>
      <c r="C534" s="229"/>
      <c r="D534" s="229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  <c r="AA534" s="229"/>
      <c r="AB534" s="229"/>
      <c r="AC534" s="229"/>
      <c r="AD534" s="229"/>
    </row>
    <row r="535" spans="1:30" ht="15.75" customHeight="1" x14ac:dyDescent="0.2">
      <c r="A535" s="229"/>
      <c r="B535" s="229"/>
      <c r="C535" s="229"/>
      <c r="D535" s="229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  <c r="AA535" s="229"/>
      <c r="AB535" s="229"/>
      <c r="AC535" s="229"/>
      <c r="AD535" s="229"/>
    </row>
    <row r="536" spans="1:30" ht="15.75" customHeight="1" x14ac:dyDescent="0.2">
      <c r="A536" s="229"/>
      <c r="B536" s="229"/>
      <c r="C536" s="229"/>
      <c r="D536" s="229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  <c r="AA536" s="229"/>
      <c r="AB536" s="229"/>
      <c r="AC536" s="229"/>
      <c r="AD536" s="229"/>
    </row>
    <row r="537" spans="1:30" ht="15.75" customHeight="1" x14ac:dyDescent="0.2">
      <c r="A537" s="229"/>
      <c r="B537" s="229"/>
      <c r="C537" s="229"/>
      <c r="D537" s="229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  <c r="AA537" s="229"/>
      <c r="AB537" s="229"/>
      <c r="AC537" s="229"/>
      <c r="AD537" s="229"/>
    </row>
    <row r="538" spans="1:30" ht="15.75" customHeight="1" x14ac:dyDescent="0.2">
      <c r="A538" s="229"/>
      <c r="B538" s="229"/>
      <c r="C538" s="229"/>
      <c r="D538" s="229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  <c r="AA538" s="229"/>
      <c r="AB538" s="229"/>
      <c r="AC538" s="229"/>
      <c r="AD538" s="229"/>
    </row>
    <row r="539" spans="1:30" ht="15.75" customHeight="1" x14ac:dyDescent="0.2">
      <c r="A539" s="229"/>
      <c r="B539" s="229"/>
      <c r="C539" s="229"/>
      <c r="D539" s="229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  <c r="AA539" s="229"/>
      <c r="AB539" s="229"/>
      <c r="AC539" s="229"/>
      <c r="AD539" s="229"/>
    </row>
    <row r="540" spans="1:30" ht="15.75" customHeight="1" x14ac:dyDescent="0.2">
      <c r="A540" s="229"/>
      <c r="B540" s="229"/>
      <c r="C540" s="229"/>
      <c r="D540" s="229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  <c r="AA540" s="229"/>
      <c r="AB540" s="229"/>
      <c r="AC540" s="229"/>
      <c r="AD540" s="229"/>
    </row>
    <row r="541" spans="1:30" ht="15.75" customHeight="1" x14ac:dyDescent="0.2">
      <c r="A541" s="229"/>
      <c r="B541" s="229"/>
      <c r="C541" s="229"/>
      <c r="D541" s="229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  <c r="AA541" s="229"/>
      <c r="AB541" s="229"/>
      <c r="AC541" s="229"/>
      <c r="AD541" s="229"/>
    </row>
    <row r="542" spans="1:30" ht="15.75" customHeight="1" x14ac:dyDescent="0.2">
      <c r="A542" s="229"/>
      <c r="B542" s="229"/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  <c r="AA542" s="229"/>
      <c r="AB542" s="229"/>
      <c r="AC542" s="229"/>
      <c r="AD542" s="229"/>
    </row>
    <row r="543" spans="1:30" ht="15.75" customHeight="1" x14ac:dyDescent="0.2">
      <c r="A543" s="229"/>
      <c r="B543" s="229"/>
      <c r="C543" s="229"/>
      <c r="D543" s="229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  <c r="AA543" s="229"/>
      <c r="AB543" s="229"/>
      <c r="AC543" s="229"/>
      <c r="AD543" s="229"/>
    </row>
    <row r="544" spans="1:30" ht="15.75" customHeight="1" x14ac:dyDescent="0.2">
      <c r="A544" s="229"/>
      <c r="B544" s="229"/>
      <c r="C544" s="229"/>
      <c r="D544" s="229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  <c r="AA544" s="229"/>
      <c r="AB544" s="229"/>
      <c r="AC544" s="229"/>
      <c r="AD544" s="229"/>
    </row>
    <row r="545" spans="1:30" ht="15.75" customHeight="1" x14ac:dyDescent="0.2">
      <c r="A545" s="229"/>
      <c r="B545" s="229"/>
      <c r="C545" s="229"/>
      <c r="D545" s="229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  <c r="AA545" s="229"/>
      <c r="AB545" s="229"/>
      <c r="AC545" s="229"/>
      <c r="AD545" s="229"/>
    </row>
    <row r="546" spans="1:30" ht="15.75" customHeight="1" x14ac:dyDescent="0.2">
      <c r="A546" s="229"/>
      <c r="B546" s="229"/>
      <c r="C546" s="229"/>
      <c r="D546" s="229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  <c r="AA546" s="229"/>
      <c r="AB546" s="229"/>
      <c r="AC546" s="229"/>
      <c r="AD546" s="229"/>
    </row>
    <row r="547" spans="1:30" ht="15.75" customHeight="1" x14ac:dyDescent="0.2">
      <c r="A547" s="229"/>
      <c r="B547" s="229"/>
      <c r="C547" s="229"/>
      <c r="D547" s="229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  <c r="AA547" s="229"/>
      <c r="AB547" s="229"/>
      <c r="AC547" s="229"/>
      <c r="AD547" s="229"/>
    </row>
    <row r="548" spans="1:30" ht="15.75" customHeight="1" x14ac:dyDescent="0.2">
      <c r="A548" s="229"/>
      <c r="B548" s="229"/>
      <c r="C548" s="229"/>
      <c r="D548" s="229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  <c r="AA548" s="229"/>
      <c r="AB548" s="229"/>
      <c r="AC548" s="229"/>
      <c r="AD548" s="229"/>
    </row>
    <row r="549" spans="1:30" ht="15.75" customHeight="1" x14ac:dyDescent="0.2">
      <c r="A549" s="229"/>
      <c r="B549" s="229"/>
      <c r="C549" s="229"/>
      <c r="D549" s="229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  <c r="AA549" s="229"/>
      <c r="AB549" s="229"/>
      <c r="AC549" s="229"/>
      <c r="AD549" s="229"/>
    </row>
    <row r="550" spans="1:30" ht="15.75" customHeight="1" x14ac:dyDescent="0.2">
      <c r="A550" s="229"/>
      <c r="B550" s="229"/>
      <c r="C550" s="229"/>
      <c r="D550" s="229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  <c r="AA550" s="229"/>
      <c r="AB550" s="229"/>
      <c r="AC550" s="229"/>
      <c r="AD550" s="229"/>
    </row>
    <row r="551" spans="1:30" ht="15.75" customHeight="1" x14ac:dyDescent="0.2">
      <c r="A551" s="229"/>
      <c r="B551" s="229"/>
      <c r="C551" s="229"/>
      <c r="D551" s="229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  <c r="AA551" s="229"/>
      <c r="AB551" s="229"/>
      <c r="AC551" s="229"/>
      <c r="AD551" s="229"/>
    </row>
    <row r="552" spans="1:30" ht="15.75" customHeight="1" x14ac:dyDescent="0.2">
      <c r="A552" s="229"/>
      <c r="B552" s="229"/>
      <c r="C552" s="229"/>
      <c r="D552" s="229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  <c r="AA552" s="229"/>
      <c r="AB552" s="229"/>
      <c r="AC552" s="229"/>
      <c r="AD552" s="229"/>
    </row>
    <row r="553" spans="1:30" ht="15.75" customHeight="1" x14ac:dyDescent="0.2">
      <c r="A553" s="229"/>
      <c r="B553" s="229"/>
      <c r="C553" s="229"/>
      <c r="D553" s="229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  <c r="AA553" s="229"/>
      <c r="AB553" s="229"/>
      <c r="AC553" s="229"/>
      <c r="AD553" s="229"/>
    </row>
    <row r="554" spans="1:30" ht="15.75" customHeight="1" x14ac:dyDescent="0.2">
      <c r="A554" s="229"/>
      <c r="B554" s="229"/>
      <c r="C554" s="229"/>
      <c r="D554" s="229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  <c r="AA554" s="229"/>
      <c r="AB554" s="229"/>
      <c r="AC554" s="229"/>
      <c r="AD554" s="229"/>
    </row>
    <row r="555" spans="1:30" ht="15.75" customHeight="1" x14ac:dyDescent="0.2">
      <c r="A555" s="229"/>
      <c r="B555" s="229"/>
      <c r="C555" s="229"/>
      <c r="D555" s="229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  <c r="AA555" s="229"/>
      <c r="AB555" s="229"/>
      <c r="AC555" s="229"/>
      <c r="AD555" s="229"/>
    </row>
    <row r="556" spans="1:30" ht="15.75" customHeight="1" x14ac:dyDescent="0.2">
      <c r="A556" s="229"/>
      <c r="B556" s="229"/>
      <c r="C556" s="229"/>
      <c r="D556" s="229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  <c r="AA556" s="229"/>
      <c r="AB556" s="229"/>
      <c r="AC556" s="229"/>
      <c r="AD556" s="229"/>
    </row>
    <row r="557" spans="1:30" ht="15.75" customHeight="1" x14ac:dyDescent="0.2">
      <c r="A557" s="229"/>
      <c r="B557" s="229"/>
      <c r="C557" s="229"/>
      <c r="D557" s="229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  <c r="AA557" s="229"/>
      <c r="AB557" s="229"/>
      <c r="AC557" s="229"/>
      <c r="AD557" s="229"/>
    </row>
    <row r="558" spans="1:30" ht="15.75" customHeight="1" x14ac:dyDescent="0.2">
      <c r="A558" s="229"/>
      <c r="B558" s="229"/>
      <c r="C558" s="229"/>
      <c r="D558" s="229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  <c r="AA558" s="229"/>
      <c r="AB558" s="229"/>
      <c r="AC558" s="229"/>
      <c r="AD558" s="229"/>
    </row>
    <row r="559" spans="1:30" ht="15.75" customHeight="1" x14ac:dyDescent="0.2">
      <c r="A559" s="229"/>
      <c r="B559" s="229"/>
      <c r="C559" s="229"/>
      <c r="D559" s="229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  <c r="AA559" s="229"/>
      <c r="AB559" s="229"/>
      <c r="AC559" s="229"/>
      <c r="AD559" s="229"/>
    </row>
    <row r="560" spans="1:30" ht="15.75" customHeight="1" x14ac:dyDescent="0.2">
      <c r="A560" s="229"/>
      <c r="B560" s="229"/>
      <c r="C560" s="229"/>
      <c r="D560" s="229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  <c r="AA560" s="229"/>
      <c r="AB560" s="229"/>
      <c r="AC560" s="229"/>
      <c r="AD560" s="229"/>
    </row>
    <row r="561" spans="1:30" ht="15.75" customHeight="1" x14ac:dyDescent="0.2">
      <c r="A561" s="229"/>
      <c r="B561" s="229"/>
      <c r="C561" s="229"/>
      <c r="D561" s="229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  <c r="AA561" s="229"/>
      <c r="AB561" s="229"/>
      <c r="AC561" s="229"/>
      <c r="AD561" s="229"/>
    </row>
    <row r="562" spans="1:30" ht="15.75" customHeight="1" x14ac:dyDescent="0.2">
      <c r="A562" s="229"/>
      <c r="B562" s="229"/>
      <c r="C562" s="229"/>
      <c r="D562" s="229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  <c r="AA562" s="229"/>
      <c r="AB562" s="229"/>
      <c r="AC562" s="229"/>
      <c r="AD562" s="229"/>
    </row>
    <row r="563" spans="1:30" ht="15.75" customHeight="1" x14ac:dyDescent="0.2">
      <c r="A563" s="229"/>
      <c r="B563" s="229"/>
      <c r="C563" s="229"/>
      <c r="D563" s="229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  <c r="AA563" s="229"/>
      <c r="AB563" s="229"/>
      <c r="AC563" s="229"/>
      <c r="AD563" s="229"/>
    </row>
    <row r="564" spans="1:30" ht="15.75" customHeight="1" x14ac:dyDescent="0.2">
      <c r="A564" s="229"/>
      <c r="B564" s="229"/>
      <c r="C564" s="229"/>
      <c r="D564" s="229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  <c r="AA564" s="229"/>
      <c r="AB564" s="229"/>
      <c r="AC564" s="229"/>
      <c r="AD564" s="229"/>
    </row>
    <row r="565" spans="1:30" ht="15.75" customHeight="1" x14ac:dyDescent="0.2">
      <c r="A565" s="229"/>
      <c r="B565" s="229"/>
      <c r="C565" s="229"/>
      <c r="D565" s="229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  <c r="AA565" s="229"/>
      <c r="AB565" s="229"/>
      <c r="AC565" s="229"/>
      <c r="AD565" s="229"/>
    </row>
    <row r="566" spans="1:30" ht="15.75" customHeight="1" x14ac:dyDescent="0.2">
      <c r="A566" s="229"/>
      <c r="B566" s="229"/>
      <c r="C566" s="229"/>
      <c r="D566" s="229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  <c r="AA566" s="229"/>
      <c r="AB566" s="229"/>
      <c r="AC566" s="229"/>
      <c r="AD566" s="229"/>
    </row>
    <row r="567" spans="1:30" ht="15.75" customHeight="1" x14ac:dyDescent="0.2">
      <c r="A567" s="229"/>
      <c r="B567" s="229"/>
      <c r="C567" s="229"/>
      <c r="D567" s="229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  <c r="AA567" s="229"/>
      <c r="AB567" s="229"/>
      <c r="AC567" s="229"/>
      <c r="AD567" s="229"/>
    </row>
    <row r="568" spans="1:30" ht="15.75" customHeight="1" x14ac:dyDescent="0.2">
      <c r="A568" s="229"/>
      <c r="B568" s="229"/>
      <c r="C568" s="229"/>
      <c r="D568" s="229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  <c r="AA568" s="229"/>
      <c r="AB568" s="229"/>
      <c r="AC568" s="229"/>
      <c r="AD568" s="229"/>
    </row>
    <row r="569" spans="1:30" ht="15.75" customHeight="1" x14ac:dyDescent="0.2">
      <c r="A569" s="229"/>
      <c r="B569" s="229"/>
      <c r="C569" s="229"/>
      <c r="D569" s="229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  <c r="AA569" s="229"/>
      <c r="AB569" s="229"/>
      <c r="AC569" s="229"/>
      <c r="AD569" s="229"/>
    </row>
    <row r="570" spans="1:30" ht="15.75" customHeight="1" x14ac:dyDescent="0.2">
      <c r="A570" s="229"/>
      <c r="B570" s="229"/>
      <c r="C570" s="229"/>
      <c r="D570" s="229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  <c r="AA570" s="229"/>
      <c r="AB570" s="229"/>
      <c r="AC570" s="229"/>
      <c r="AD570" s="229"/>
    </row>
    <row r="571" spans="1:30" ht="15.75" customHeight="1" x14ac:dyDescent="0.2">
      <c r="A571" s="229"/>
      <c r="B571" s="229"/>
      <c r="C571" s="229"/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  <c r="AA571" s="229"/>
      <c r="AB571" s="229"/>
      <c r="AC571" s="229"/>
      <c r="AD571" s="229"/>
    </row>
    <row r="572" spans="1:30" ht="15.75" customHeight="1" x14ac:dyDescent="0.2">
      <c r="A572" s="229"/>
      <c r="B572" s="229"/>
      <c r="C572" s="229"/>
      <c r="D572" s="229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  <c r="AA572" s="229"/>
      <c r="AB572" s="229"/>
      <c r="AC572" s="229"/>
      <c r="AD572" s="229"/>
    </row>
    <row r="573" spans="1:30" ht="15.75" customHeight="1" x14ac:dyDescent="0.2">
      <c r="A573" s="229"/>
      <c r="B573" s="229"/>
      <c r="C573" s="229"/>
      <c r="D573" s="229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  <c r="AA573" s="229"/>
      <c r="AB573" s="229"/>
      <c r="AC573" s="229"/>
      <c r="AD573" s="229"/>
    </row>
    <row r="574" spans="1:30" ht="15.75" customHeight="1" x14ac:dyDescent="0.2">
      <c r="A574" s="229"/>
      <c r="B574" s="229"/>
      <c r="C574" s="229"/>
      <c r="D574" s="229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  <c r="AA574" s="229"/>
      <c r="AB574" s="229"/>
      <c r="AC574" s="229"/>
      <c r="AD574" s="229"/>
    </row>
    <row r="575" spans="1:30" ht="15.75" customHeight="1" x14ac:dyDescent="0.2">
      <c r="A575" s="229"/>
      <c r="B575" s="229"/>
      <c r="C575" s="229"/>
      <c r="D575" s="229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  <c r="AA575" s="229"/>
      <c r="AB575" s="229"/>
      <c r="AC575" s="229"/>
      <c r="AD575" s="229"/>
    </row>
    <row r="576" spans="1:30" ht="15.75" customHeight="1" x14ac:dyDescent="0.2">
      <c r="A576" s="229"/>
      <c r="B576" s="229"/>
      <c r="C576" s="229"/>
      <c r="D576" s="229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  <c r="AA576" s="229"/>
      <c r="AB576" s="229"/>
      <c r="AC576" s="229"/>
      <c r="AD576" s="229"/>
    </row>
    <row r="577" spans="1:30" ht="15.75" customHeight="1" x14ac:dyDescent="0.2">
      <c r="A577" s="229"/>
      <c r="B577" s="229"/>
      <c r="C577" s="229"/>
      <c r="D577" s="229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  <c r="AA577" s="229"/>
      <c r="AB577" s="229"/>
      <c r="AC577" s="229"/>
      <c r="AD577" s="229"/>
    </row>
    <row r="578" spans="1:30" ht="15.75" customHeight="1" x14ac:dyDescent="0.2">
      <c r="A578" s="229"/>
      <c r="B578" s="229"/>
      <c r="C578" s="229"/>
      <c r="D578" s="229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  <c r="AA578" s="229"/>
      <c r="AB578" s="229"/>
      <c r="AC578" s="229"/>
      <c r="AD578" s="229"/>
    </row>
    <row r="579" spans="1:30" ht="15.75" customHeight="1" x14ac:dyDescent="0.2">
      <c r="A579" s="229"/>
      <c r="B579" s="229"/>
      <c r="C579" s="229"/>
      <c r="D579" s="229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  <c r="AA579" s="229"/>
      <c r="AB579" s="229"/>
      <c r="AC579" s="229"/>
      <c r="AD579" s="229"/>
    </row>
    <row r="580" spans="1:30" ht="15.75" customHeight="1" x14ac:dyDescent="0.2">
      <c r="A580" s="229"/>
      <c r="B580" s="229"/>
      <c r="C580" s="229"/>
      <c r="D580" s="229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  <c r="AA580" s="229"/>
      <c r="AB580" s="229"/>
      <c r="AC580" s="229"/>
      <c r="AD580" s="229"/>
    </row>
    <row r="581" spans="1:30" ht="15.75" customHeight="1" x14ac:dyDescent="0.2">
      <c r="A581" s="229"/>
      <c r="B581" s="229"/>
      <c r="C581" s="229"/>
      <c r="D581" s="229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  <c r="AA581" s="229"/>
      <c r="AB581" s="229"/>
      <c r="AC581" s="229"/>
      <c r="AD581" s="229"/>
    </row>
    <row r="582" spans="1:30" ht="15.75" customHeight="1" x14ac:dyDescent="0.2">
      <c r="A582" s="229"/>
      <c r="B582" s="229"/>
      <c r="C582" s="229"/>
      <c r="D582" s="229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  <c r="AA582" s="229"/>
      <c r="AB582" s="229"/>
      <c r="AC582" s="229"/>
      <c r="AD582" s="229"/>
    </row>
    <row r="583" spans="1:30" ht="15.75" customHeight="1" x14ac:dyDescent="0.2">
      <c r="A583" s="229"/>
      <c r="B583" s="229"/>
      <c r="C583" s="229"/>
      <c r="D583" s="229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  <c r="AA583" s="229"/>
      <c r="AB583" s="229"/>
      <c r="AC583" s="229"/>
      <c r="AD583" s="229"/>
    </row>
    <row r="584" spans="1:30" ht="15.75" customHeight="1" x14ac:dyDescent="0.2">
      <c r="A584" s="229"/>
      <c r="B584" s="229"/>
      <c r="C584" s="229"/>
      <c r="D584" s="229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  <c r="AA584" s="229"/>
      <c r="AB584" s="229"/>
      <c r="AC584" s="229"/>
      <c r="AD584" s="229"/>
    </row>
    <row r="585" spans="1:30" ht="15.75" customHeight="1" x14ac:dyDescent="0.2">
      <c r="A585" s="229"/>
      <c r="B585" s="229"/>
      <c r="C585" s="229"/>
      <c r="D585" s="229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  <c r="AA585" s="229"/>
      <c r="AB585" s="229"/>
      <c r="AC585" s="229"/>
      <c r="AD585" s="229"/>
    </row>
    <row r="586" spans="1:30" ht="15.75" customHeight="1" x14ac:dyDescent="0.2">
      <c r="A586" s="229"/>
      <c r="B586" s="229"/>
      <c r="C586" s="229"/>
      <c r="D586" s="229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  <c r="AA586" s="229"/>
      <c r="AB586" s="229"/>
      <c r="AC586" s="229"/>
      <c r="AD586" s="229"/>
    </row>
    <row r="587" spans="1:30" ht="15.75" customHeight="1" x14ac:dyDescent="0.2">
      <c r="A587" s="229"/>
      <c r="B587" s="229"/>
      <c r="C587" s="229"/>
      <c r="D587" s="229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  <c r="AA587" s="229"/>
      <c r="AB587" s="229"/>
      <c r="AC587" s="229"/>
      <c r="AD587" s="229"/>
    </row>
    <row r="588" spans="1:30" ht="15.75" customHeight="1" x14ac:dyDescent="0.2">
      <c r="A588" s="229"/>
      <c r="B588" s="229"/>
      <c r="C588" s="229"/>
      <c r="D588" s="229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  <c r="AA588" s="229"/>
      <c r="AB588" s="229"/>
      <c r="AC588" s="229"/>
      <c r="AD588" s="229"/>
    </row>
    <row r="589" spans="1:30" ht="15.75" customHeight="1" x14ac:dyDescent="0.2">
      <c r="A589" s="229"/>
      <c r="B589" s="229"/>
      <c r="C589" s="229"/>
      <c r="D589" s="229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  <c r="AA589" s="229"/>
      <c r="AB589" s="229"/>
      <c r="AC589" s="229"/>
      <c r="AD589" s="229"/>
    </row>
    <row r="590" spans="1:30" ht="15.75" customHeight="1" x14ac:dyDescent="0.2">
      <c r="A590" s="229"/>
      <c r="B590" s="229"/>
      <c r="C590" s="229"/>
      <c r="D590" s="229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  <c r="AA590" s="229"/>
      <c r="AB590" s="229"/>
      <c r="AC590" s="229"/>
      <c r="AD590" s="229"/>
    </row>
    <row r="591" spans="1:30" ht="15.75" customHeight="1" x14ac:dyDescent="0.2">
      <c r="A591" s="229"/>
      <c r="B591" s="229"/>
      <c r="C591" s="229"/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  <c r="AA591" s="229"/>
      <c r="AB591" s="229"/>
      <c r="AC591" s="229"/>
      <c r="AD591" s="229"/>
    </row>
    <row r="592" spans="1:30" ht="15.75" customHeight="1" x14ac:dyDescent="0.2">
      <c r="A592" s="229"/>
      <c r="B592" s="229"/>
      <c r="C592" s="229"/>
      <c r="D592" s="229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  <c r="AA592" s="229"/>
      <c r="AB592" s="229"/>
      <c r="AC592" s="229"/>
      <c r="AD592" s="229"/>
    </row>
    <row r="593" spans="1:30" ht="15.75" customHeight="1" x14ac:dyDescent="0.2">
      <c r="A593" s="229"/>
      <c r="B593" s="229"/>
      <c r="C593" s="229"/>
      <c r="D593" s="229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  <c r="AA593" s="229"/>
      <c r="AB593" s="229"/>
      <c r="AC593" s="229"/>
      <c r="AD593" s="229"/>
    </row>
    <row r="594" spans="1:30" ht="15.75" customHeight="1" x14ac:dyDescent="0.2">
      <c r="A594" s="229"/>
      <c r="B594" s="229"/>
      <c r="C594" s="229"/>
      <c r="D594" s="229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  <c r="AA594" s="229"/>
      <c r="AB594" s="229"/>
      <c r="AC594" s="229"/>
      <c r="AD594" s="229"/>
    </row>
    <row r="595" spans="1:30" ht="15.75" customHeight="1" x14ac:dyDescent="0.2">
      <c r="A595" s="229"/>
      <c r="B595" s="229"/>
      <c r="C595" s="229"/>
      <c r="D595" s="229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  <c r="AA595" s="229"/>
      <c r="AB595" s="229"/>
      <c r="AC595" s="229"/>
      <c r="AD595" s="229"/>
    </row>
    <row r="596" spans="1:30" ht="15.75" customHeight="1" x14ac:dyDescent="0.2">
      <c r="A596" s="229"/>
      <c r="B596" s="229"/>
      <c r="C596" s="229"/>
      <c r="D596" s="229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  <c r="AA596" s="229"/>
      <c r="AB596" s="229"/>
      <c r="AC596" s="229"/>
      <c r="AD596" s="229"/>
    </row>
    <row r="597" spans="1:30" ht="15.75" customHeight="1" x14ac:dyDescent="0.2">
      <c r="A597" s="229"/>
      <c r="B597" s="229"/>
      <c r="C597" s="229"/>
      <c r="D597" s="229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  <c r="AA597" s="229"/>
      <c r="AB597" s="229"/>
      <c r="AC597" s="229"/>
      <c r="AD597" s="229"/>
    </row>
    <row r="598" spans="1:30" ht="15.75" customHeight="1" x14ac:dyDescent="0.2">
      <c r="A598" s="229"/>
      <c r="B598" s="229"/>
      <c r="C598" s="229"/>
      <c r="D598" s="229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  <c r="AA598" s="229"/>
      <c r="AB598" s="229"/>
      <c r="AC598" s="229"/>
      <c r="AD598" s="229"/>
    </row>
    <row r="599" spans="1:30" ht="15.75" customHeight="1" x14ac:dyDescent="0.2">
      <c r="A599" s="229"/>
      <c r="B599" s="229"/>
      <c r="C599" s="229"/>
      <c r="D599" s="229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  <c r="AA599" s="229"/>
      <c r="AB599" s="229"/>
      <c r="AC599" s="229"/>
      <c r="AD599" s="229"/>
    </row>
    <row r="600" spans="1:30" ht="15.75" customHeight="1" x14ac:dyDescent="0.2">
      <c r="A600" s="229"/>
      <c r="B600" s="229"/>
      <c r="C600" s="229"/>
      <c r="D600" s="229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  <c r="AA600" s="229"/>
      <c r="AB600" s="229"/>
      <c r="AC600" s="229"/>
      <c r="AD600" s="229"/>
    </row>
    <row r="601" spans="1:30" ht="15.75" customHeight="1" x14ac:dyDescent="0.2">
      <c r="A601" s="229"/>
      <c r="B601" s="229"/>
      <c r="C601" s="229"/>
      <c r="D601" s="229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  <c r="AA601" s="229"/>
      <c r="AB601" s="229"/>
      <c r="AC601" s="229"/>
      <c r="AD601" s="229"/>
    </row>
    <row r="602" spans="1:30" ht="15.75" customHeight="1" x14ac:dyDescent="0.2">
      <c r="A602" s="229"/>
      <c r="B602" s="229"/>
      <c r="C602" s="229"/>
      <c r="D602" s="229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  <c r="AA602" s="229"/>
      <c r="AB602" s="229"/>
      <c r="AC602" s="229"/>
      <c r="AD602" s="229"/>
    </row>
    <row r="603" spans="1:30" ht="15.75" customHeight="1" x14ac:dyDescent="0.2">
      <c r="A603" s="229"/>
      <c r="B603" s="229"/>
      <c r="C603" s="229"/>
      <c r="D603" s="229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  <c r="AA603" s="229"/>
      <c r="AB603" s="229"/>
      <c r="AC603" s="229"/>
      <c r="AD603" s="229"/>
    </row>
    <row r="604" spans="1:30" ht="15.75" customHeight="1" x14ac:dyDescent="0.2">
      <c r="A604" s="229"/>
      <c r="B604" s="229"/>
      <c r="C604" s="229"/>
      <c r="D604" s="229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  <c r="AA604" s="229"/>
      <c r="AB604" s="229"/>
      <c r="AC604" s="229"/>
      <c r="AD604" s="229"/>
    </row>
    <row r="605" spans="1:30" ht="15.75" customHeight="1" x14ac:dyDescent="0.2">
      <c r="A605" s="229"/>
      <c r="B605" s="229"/>
      <c r="C605" s="229"/>
      <c r="D605" s="229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  <c r="AA605" s="229"/>
      <c r="AB605" s="229"/>
      <c r="AC605" s="229"/>
      <c r="AD605" s="229"/>
    </row>
    <row r="606" spans="1:30" ht="15.75" customHeight="1" x14ac:dyDescent="0.2">
      <c r="A606" s="229"/>
      <c r="B606" s="229"/>
      <c r="C606" s="229"/>
      <c r="D606" s="229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  <c r="AA606" s="229"/>
      <c r="AB606" s="229"/>
      <c r="AC606" s="229"/>
      <c r="AD606" s="229"/>
    </row>
    <row r="607" spans="1:30" ht="15.75" customHeight="1" x14ac:dyDescent="0.2">
      <c r="A607" s="229"/>
      <c r="B607" s="229"/>
      <c r="C607" s="229"/>
      <c r="D607" s="229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  <c r="AA607" s="229"/>
      <c r="AB607" s="229"/>
      <c r="AC607" s="229"/>
      <c r="AD607" s="229"/>
    </row>
    <row r="608" spans="1:30" ht="15.75" customHeight="1" x14ac:dyDescent="0.2">
      <c r="A608" s="229"/>
      <c r="B608" s="229"/>
      <c r="C608" s="229"/>
      <c r="D608" s="229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  <c r="AA608" s="229"/>
      <c r="AB608" s="229"/>
      <c r="AC608" s="229"/>
      <c r="AD608" s="229"/>
    </row>
    <row r="609" spans="1:30" ht="15.75" customHeight="1" x14ac:dyDescent="0.2">
      <c r="A609" s="229"/>
      <c r="B609" s="229"/>
      <c r="C609" s="229"/>
      <c r="D609" s="229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  <c r="AA609" s="229"/>
      <c r="AB609" s="229"/>
      <c r="AC609" s="229"/>
      <c r="AD609" s="229"/>
    </row>
    <row r="610" spans="1:30" ht="15.75" customHeight="1" x14ac:dyDescent="0.2">
      <c r="A610" s="229"/>
      <c r="B610" s="229"/>
      <c r="C610" s="229"/>
      <c r="D610" s="229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  <c r="AA610" s="229"/>
      <c r="AB610" s="229"/>
      <c r="AC610" s="229"/>
      <c r="AD610" s="229"/>
    </row>
    <row r="611" spans="1:30" ht="15.75" customHeight="1" x14ac:dyDescent="0.2">
      <c r="A611" s="229"/>
      <c r="B611" s="229"/>
      <c r="C611" s="229"/>
      <c r="D611" s="229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  <c r="AA611" s="229"/>
      <c r="AB611" s="229"/>
      <c r="AC611" s="229"/>
      <c r="AD611" s="229"/>
    </row>
    <row r="612" spans="1:30" ht="15.75" customHeight="1" x14ac:dyDescent="0.2">
      <c r="A612" s="229"/>
      <c r="B612" s="229"/>
      <c r="C612" s="229"/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  <c r="AA612" s="229"/>
      <c r="AB612" s="229"/>
      <c r="AC612" s="229"/>
      <c r="AD612" s="229"/>
    </row>
    <row r="613" spans="1:30" ht="15.75" customHeight="1" x14ac:dyDescent="0.2">
      <c r="A613" s="229"/>
      <c r="B613" s="229"/>
      <c r="C613" s="229"/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  <c r="AA613" s="229"/>
      <c r="AB613" s="229"/>
      <c r="AC613" s="229"/>
      <c r="AD613" s="229"/>
    </row>
    <row r="614" spans="1:30" ht="15.75" customHeight="1" x14ac:dyDescent="0.2">
      <c r="A614" s="229"/>
      <c r="B614" s="229"/>
      <c r="C614" s="229"/>
      <c r="D614" s="229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  <c r="AA614" s="229"/>
      <c r="AB614" s="229"/>
      <c r="AC614" s="229"/>
      <c r="AD614" s="229"/>
    </row>
    <row r="615" spans="1:30" ht="15.75" customHeight="1" x14ac:dyDescent="0.2">
      <c r="A615" s="229"/>
      <c r="B615" s="229"/>
      <c r="C615" s="229"/>
      <c r="D615" s="229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  <c r="AA615" s="229"/>
      <c r="AB615" s="229"/>
      <c r="AC615" s="229"/>
      <c r="AD615" s="229"/>
    </row>
    <row r="616" spans="1:30" ht="15.75" customHeight="1" x14ac:dyDescent="0.2">
      <c r="A616" s="229"/>
      <c r="B616" s="229"/>
      <c r="C616" s="229"/>
      <c r="D616" s="229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  <c r="AA616" s="229"/>
      <c r="AB616" s="229"/>
      <c r="AC616" s="229"/>
      <c r="AD616" s="229"/>
    </row>
    <row r="617" spans="1:30" ht="15.75" customHeight="1" x14ac:dyDescent="0.2">
      <c r="A617" s="229"/>
      <c r="B617" s="229"/>
      <c r="C617" s="229"/>
      <c r="D617" s="229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  <c r="AA617" s="229"/>
      <c r="AB617" s="229"/>
      <c r="AC617" s="229"/>
      <c r="AD617" s="229"/>
    </row>
    <row r="618" spans="1:30" ht="15.75" customHeight="1" x14ac:dyDescent="0.2">
      <c r="A618" s="229"/>
      <c r="B618" s="229"/>
      <c r="C618" s="229"/>
      <c r="D618" s="229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  <c r="AA618" s="229"/>
      <c r="AB618" s="229"/>
      <c r="AC618" s="229"/>
      <c r="AD618" s="229"/>
    </row>
    <row r="619" spans="1:30" ht="15.75" customHeight="1" x14ac:dyDescent="0.2">
      <c r="A619" s="229"/>
      <c r="B619" s="229"/>
      <c r="C619" s="229"/>
      <c r="D619" s="229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  <c r="AA619" s="229"/>
      <c r="AB619" s="229"/>
      <c r="AC619" s="229"/>
      <c r="AD619" s="229"/>
    </row>
    <row r="620" spans="1:30" ht="15.75" customHeight="1" x14ac:dyDescent="0.2">
      <c r="A620" s="229"/>
      <c r="B620" s="229"/>
      <c r="C620" s="229"/>
      <c r="D620" s="229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  <c r="AA620" s="229"/>
      <c r="AB620" s="229"/>
      <c r="AC620" s="229"/>
      <c r="AD620" s="229"/>
    </row>
    <row r="621" spans="1:30" ht="15.75" customHeight="1" x14ac:dyDescent="0.2">
      <c r="A621" s="229"/>
      <c r="B621" s="229"/>
      <c r="C621" s="229"/>
      <c r="D621" s="229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  <c r="AA621" s="229"/>
      <c r="AB621" s="229"/>
      <c r="AC621" s="229"/>
      <c r="AD621" s="229"/>
    </row>
    <row r="622" spans="1:30" ht="15.75" customHeight="1" x14ac:dyDescent="0.2">
      <c r="A622" s="229"/>
      <c r="B622" s="229"/>
      <c r="C622" s="229"/>
      <c r="D622" s="229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  <c r="AA622" s="229"/>
      <c r="AB622" s="229"/>
      <c r="AC622" s="229"/>
      <c r="AD622" s="229"/>
    </row>
    <row r="623" spans="1:30" ht="15.75" customHeight="1" x14ac:dyDescent="0.2">
      <c r="A623" s="229"/>
      <c r="B623" s="229"/>
      <c r="C623" s="229"/>
      <c r="D623" s="229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  <c r="AA623" s="229"/>
      <c r="AB623" s="229"/>
      <c r="AC623" s="229"/>
      <c r="AD623" s="229"/>
    </row>
    <row r="624" spans="1:30" ht="15.75" customHeight="1" x14ac:dyDescent="0.2">
      <c r="A624" s="229"/>
      <c r="B624" s="229"/>
      <c r="C624" s="229"/>
      <c r="D624" s="229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  <c r="AA624" s="229"/>
      <c r="AB624" s="229"/>
      <c r="AC624" s="229"/>
      <c r="AD624" s="229"/>
    </row>
    <row r="625" spans="1:30" ht="15.75" customHeight="1" x14ac:dyDescent="0.2">
      <c r="A625" s="229"/>
      <c r="B625" s="229"/>
      <c r="C625" s="229"/>
      <c r="D625" s="229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  <c r="AA625" s="229"/>
      <c r="AB625" s="229"/>
      <c r="AC625" s="229"/>
      <c r="AD625" s="229"/>
    </row>
    <row r="626" spans="1:30" ht="15.75" customHeight="1" x14ac:dyDescent="0.2">
      <c r="A626" s="229"/>
      <c r="B626" s="229"/>
      <c r="C626" s="229"/>
      <c r="D626" s="229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  <c r="AA626" s="229"/>
      <c r="AB626" s="229"/>
      <c r="AC626" s="229"/>
      <c r="AD626" s="229"/>
    </row>
    <row r="627" spans="1:30" ht="15.75" customHeight="1" x14ac:dyDescent="0.2">
      <c r="A627" s="229"/>
      <c r="B627" s="229"/>
      <c r="C627" s="229"/>
      <c r="D627" s="229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  <c r="AA627" s="229"/>
      <c r="AB627" s="229"/>
      <c r="AC627" s="229"/>
      <c r="AD627" s="229"/>
    </row>
    <row r="628" spans="1:30" ht="15.75" customHeight="1" x14ac:dyDescent="0.2">
      <c r="A628" s="229"/>
      <c r="B628" s="229"/>
      <c r="C628" s="229"/>
      <c r="D628" s="229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  <c r="AA628" s="229"/>
      <c r="AB628" s="229"/>
      <c r="AC628" s="229"/>
      <c r="AD628" s="229"/>
    </row>
    <row r="629" spans="1:30" ht="15.75" customHeight="1" x14ac:dyDescent="0.2">
      <c r="A629" s="229"/>
      <c r="B629" s="229"/>
      <c r="C629" s="229"/>
      <c r="D629" s="229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  <c r="AA629" s="229"/>
      <c r="AB629" s="229"/>
      <c r="AC629" s="229"/>
      <c r="AD629" s="229"/>
    </row>
    <row r="630" spans="1:30" ht="15.75" customHeight="1" x14ac:dyDescent="0.2">
      <c r="A630" s="229"/>
      <c r="B630" s="229"/>
      <c r="C630" s="229"/>
      <c r="D630" s="229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  <c r="AA630" s="229"/>
      <c r="AB630" s="229"/>
      <c r="AC630" s="229"/>
      <c r="AD630" s="229"/>
    </row>
    <row r="631" spans="1:30" ht="15.75" customHeight="1" x14ac:dyDescent="0.2">
      <c r="A631" s="229"/>
      <c r="B631" s="229"/>
      <c r="C631" s="229"/>
      <c r="D631" s="229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  <c r="AA631" s="229"/>
      <c r="AB631" s="229"/>
      <c r="AC631" s="229"/>
      <c r="AD631" s="229"/>
    </row>
    <row r="632" spans="1:30" ht="15.75" customHeight="1" x14ac:dyDescent="0.2">
      <c r="A632" s="229"/>
      <c r="B632" s="229"/>
      <c r="C632" s="229"/>
      <c r="D632" s="229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  <c r="AA632" s="229"/>
      <c r="AB632" s="229"/>
      <c r="AC632" s="229"/>
      <c r="AD632" s="229"/>
    </row>
    <row r="633" spans="1:30" ht="15.75" customHeight="1" x14ac:dyDescent="0.2">
      <c r="A633" s="229"/>
      <c r="B633" s="229"/>
      <c r="C633" s="229"/>
      <c r="D633" s="229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  <c r="AA633" s="229"/>
      <c r="AB633" s="229"/>
      <c r="AC633" s="229"/>
      <c r="AD633" s="229"/>
    </row>
    <row r="634" spans="1:30" ht="15.75" customHeight="1" x14ac:dyDescent="0.2">
      <c r="A634" s="229"/>
      <c r="B634" s="229"/>
      <c r="C634" s="229"/>
      <c r="D634" s="229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  <c r="AA634" s="229"/>
      <c r="AB634" s="229"/>
      <c r="AC634" s="229"/>
      <c r="AD634" s="229"/>
    </row>
    <row r="635" spans="1:30" ht="15.75" customHeight="1" x14ac:dyDescent="0.2">
      <c r="A635" s="229"/>
      <c r="B635" s="229"/>
      <c r="C635" s="229"/>
      <c r="D635" s="229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  <c r="AA635" s="229"/>
      <c r="AB635" s="229"/>
      <c r="AC635" s="229"/>
      <c r="AD635" s="229"/>
    </row>
    <row r="636" spans="1:30" ht="15.75" customHeight="1" x14ac:dyDescent="0.2">
      <c r="A636" s="229"/>
      <c r="B636" s="229"/>
      <c r="C636" s="229"/>
      <c r="D636" s="229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  <c r="AA636" s="229"/>
      <c r="AB636" s="229"/>
      <c r="AC636" s="229"/>
      <c r="AD636" s="229"/>
    </row>
    <row r="637" spans="1:30" ht="15.75" customHeight="1" x14ac:dyDescent="0.2">
      <c r="A637" s="229"/>
      <c r="B637" s="229"/>
      <c r="C637" s="229"/>
      <c r="D637" s="229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  <c r="AA637" s="229"/>
      <c r="AB637" s="229"/>
      <c r="AC637" s="229"/>
      <c r="AD637" s="229"/>
    </row>
    <row r="638" spans="1:30" ht="15.75" customHeight="1" x14ac:dyDescent="0.2">
      <c r="A638" s="229"/>
      <c r="B638" s="229"/>
      <c r="C638" s="229"/>
      <c r="D638" s="229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  <c r="AA638" s="229"/>
      <c r="AB638" s="229"/>
      <c r="AC638" s="229"/>
      <c r="AD638" s="229"/>
    </row>
    <row r="639" spans="1:30" ht="15.75" customHeight="1" x14ac:dyDescent="0.2">
      <c r="A639" s="229"/>
      <c r="B639" s="229"/>
      <c r="C639" s="229"/>
      <c r="D639" s="229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  <c r="AA639" s="229"/>
      <c r="AB639" s="229"/>
      <c r="AC639" s="229"/>
      <c r="AD639" s="229"/>
    </row>
    <row r="640" spans="1:30" ht="15.75" customHeight="1" x14ac:dyDescent="0.2">
      <c r="A640" s="229"/>
      <c r="B640" s="229"/>
      <c r="C640" s="229"/>
      <c r="D640" s="229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  <c r="AA640" s="229"/>
      <c r="AB640" s="229"/>
      <c r="AC640" s="229"/>
      <c r="AD640" s="229"/>
    </row>
    <row r="641" spans="1:30" ht="15.75" customHeight="1" x14ac:dyDescent="0.2">
      <c r="A641" s="229"/>
      <c r="B641" s="229"/>
      <c r="C641" s="229"/>
      <c r="D641" s="229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  <c r="AA641" s="229"/>
      <c r="AB641" s="229"/>
      <c r="AC641" s="229"/>
      <c r="AD641" s="229"/>
    </row>
    <row r="642" spans="1:30" ht="15.75" customHeight="1" x14ac:dyDescent="0.2">
      <c r="A642" s="229"/>
      <c r="B642" s="229"/>
      <c r="C642" s="229"/>
      <c r="D642" s="229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  <c r="AA642" s="229"/>
      <c r="AB642" s="229"/>
      <c r="AC642" s="229"/>
      <c r="AD642" s="229"/>
    </row>
    <row r="643" spans="1:30" ht="15.75" customHeight="1" x14ac:dyDescent="0.2">
      <c r="A643" s="229"/>
      <c r="B643" s="229"/>
      <c r="C643" s="229"/>
      <c r="D643" s="229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  <c r="AA643" s="229"/>
      <c r="AB643" s="229"/>
      <c r="AC643" s="229"/>
      <c r="AD643" s="229"/>
    </row>
    <row r="644" spans="1:30" ht="15.75" customHeight="1" x14ac:dyDescent="0.2">
      <c r="A644" s="229"/>
      <c r="B644" s="229"/>
      <c r="C644" s="229"/>
      <c r="D644" s="229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  <c r="AA644" s="229"/>
      <c r="AB644" s="229"/>
      <c r="AC644" s="229"/>
      <c r="AD644" s="229"/>
    </row>
    <row r="645" spans="1:30" ht="15.75" customHeight="1" x14ac:dyDescent="0.2">
      <c r="A645" s="229"/>
      <c r="B645" s="229"/>
      <c r="C645" s="229"/>
      <c r="D645" s="229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  <c r="AA645" s="229"/>
      <c r="AB645" s="229"/>
      <c r="AC645" s="229"/>
      <c r="AD645" s="229"/>
    </row>
    <row r="646" spans="1:30" ht="15.75" customHeight="1" x14ac:dyDescent="0.2">
      <c r="A646" s="229"/>
      <c r="B646" s="229"/>
      <c r="C646" s="229"/>
      <c r="D646" s="229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  <c r="AA646" s="229"/>
      <c r="AB646" s="229"/>
      <c r="AC646" s="229"/>
      <c r="AD646" s="229"/>
    </row>
    <row r="647" spans="1:30" ht="15.75" customHeight="1" x14ac:dyDescent="0.2">
      <c r="A647" s="229"/>
      <c r="B647" s="229"/>
      <c r="C647" s="229"/>
      <c r="D647" s="229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  <c r="AA647" s="229"/>
      <c r="AB647" s="229"/>
      <c r="AC647" s="229"/>
      <c r="AD647" s="229"/>
    </row>
    <row r="648" spans="1:30" ht="15.75" customHeight="1" x14ac:dyDescent="0.2">
      <c r="A648" s="229"/>
      <c r="B648" s="229"/>
      <c r="C648" s="229"/>
      <c r="D648" s="229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  <c r="AA648" s="229"/>
      <c r="AB648" s="229"/>
      <c r="AC648" s="229"/>
      <c r="AD648" s="229"/>
    </row>
    <row r="649" spans="1:30" ht="15.75" customHeight="1" x14ac:dyDescent="0.2">
      <c r="A649" s="229"/>
      <c r="B649" s="229"/>
      <c r="C649" s="229"/>
      <c r="D649" s="229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  <c r="AA649" s="229"/>
      <c r="AB649" s="229"/>
      <c r="AC649" s="229"/>
      <c r="AD649" s="229"/>
    </row>
    <row r="650" spans="1:30" ht="15.75" customHeight="1" x14ac:dyDescent="0.2">
      <c r="A650" s="229"/>
      <c r="B650" s="229"/>
      <c r="C650" s="229"/>
      <c r="D650" s="229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  <c r="AA650" s="229"/>
      <c r="AB650" s="229"/>
      <c r="AC650" s="229"/>
      <c r="AD650" s="229"/>
    </row>
    <row r="651" spans="1:30" ht="15.75" customHeight="1" x14ac:dyDescent="0.2">
      <c r="A651" s="229"/>
      <c r="B651" s="229"/>
      <c r="C651" s="229"/>
      <c r="D651" s="229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  <c r="AA651" s="229"/>
      <c r="AB651" s="229"/>
      <c r="AC651" s="229"/>
      <c r="AD651" s="229"/>
    </row>
    <row r="652" spans="1:30" ht="15.75" customHeight="1" x14ac:dyDescent="0.2">
      <c r="A652" s="229"/>
      <c r="B652" s="229"/>
      <c r="C652" s="229"/>
      <c r="D652" s="229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  <c r="AA652" s="229"/>
      <c r="AB652" s="229"/>
      <c r="AC652" s="229"/>
      <c r="AD652" s="229"/>
    </row>
    <row r="653" spans="1:30" ht="15.75" customHeight="1" x14ac:dyDescent="0.2">
      <c r="A653" s="229"/>
      <c r="B653" s="229"/>
      <c r="C653" s="229"/>
      <c r="D653" s="229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  <c r="AA653" s="229"/>
      <c r="AB653" s="229"/>
      <c r="AC653" s="229"/>
      <c r="AD653" s="229"/>
    </row>
    <row r="654" spans="1:30" ht="15.75" customHeight="1" x14ac:dyDescent="0.2">
      <c r="A654" s="229"/>
      <c r="B654" s="229"/>
      <c r="C654" s="229"/>
      <c r="D654" s="229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  <c r="AA654" s="229"/>
      <c r="AB654" s="229"/>
      <c r="AC654" s="229"/>
      <c r="AD654" s="229"/>
    </row>
    <row r="655" spans="1:30" ht="15.75" customHeight="1" x14ac:dyDescent="0.2">
      <c r="A655" s="229"/>
      <c r="B655" s="229"/>
      <c r="C655" s="229"/>
      <c r="D655" s="229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  <c r="AA655" s="229"/>
      <c r="AB655" s="229"/>
      <c r="AC655" s="229"/>
      <c r="AD655" s="229"/>
    </row>
    <row r="656" spans="1:30" ht="15.75" customHeight="1" x14ac:dyDescent="0.2">
      <c r="A656" s="229"/>
      <c r="B656" s="229"/>
      <c r="C656" s="229"/>
      <c r="D656" s="229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  <c r="AA656" s="229"/>
      <c r="AB656" s="229"/>
      <c r="AC656" s="229"/>
      <c r="AD656" s="229"/>
    </row>
    <row r="657" spans="1:30" ht="15.75" customHeight="1" x14ac:dyDescent="0.2">
      <c r="A657" s="229"/>
      <c r="B657" s="229"/>
      <c r="C657" s="229"/>
      <c r="D657" s="229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  <c r="AA657" s="229"/>
      <c r="AB657" s="229"/>
      <c r="AC657" s="229"/>
      <c r="AD657" s="229"/>
    </row>
    <row r="658" spans="1:30" ht="15.75" customHeight="1" x14ac:dyDescent="0.2">
      <c r="A658" s="229"/>
      <c r="B658" s="229"/>
      <c r="C658" s="229"/>
      <c r="D658" s="229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  <c r="AA658" s="229"/>
      <c r="AB658" s="229"/>
      <c r="AC658" s="229"/>
      <c r="AD658" s="229"/>
    </row>
    <row r="659" spans="1:30" ht="15.75" customHeight="1" x14ac:dyDescent="0.2">
      <c r="A659" s="229"/>
      <c r="B659" s="229"/>
      <c r="C659" s="229"/>
      <c r="D659" s="229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  <c r="AA659" s="229"/>
      <c r="AB659" s="229"/>
      <c r="AC659" s="229"/>
      <c r="AD659" s="229"/>
    </row>
    <row r="660" spans="1:30" ht="15.75" customHeight="1" x14ac:dyDescent="0.2">
      <c r="A660" s="229"/>
      <c r="B660" s="229"/>
      <c r="C660" s="229"/>
      <c r="D660" s="229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  <c r="AA660" s="229"/>
      <c r="AB660" s="229"/>
      <c r="AC660" s="229"/>
      <c r="AD660" s="229"/>
    </row>
    <row r="661" spans="1:30" ht="15.75" customHeight="1" x14ac:dyDescent="0.2">
      <c r="A661" s="229"/>
      <c r="B661" s="229"/>
      <c r="C661" s="229"/>
      <c r="D661" s="229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  <c r="AA661" s="229"/>
      <c r="AB661" s="229"/>
      <c r="AC661" s="229"/>
      <c r="AD661" s="229"/>
    </row>
    <row r="662" spans="1:30" ht="15.75" customHeight="1" x14ac:dyDescent="0.2">
      <c r="A662" s="229"/>
      <c r="B662" s="229"/>
      <c r="C662" s="229"/>
      <c r="D662" s="229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  <c r="AA662" s="229"/>
      <c r="AB662" s="229"/>
      <c r="AC662" s="229"/>
      <c r="AD662" s="229"/>
    </row>
    <row r="663" spans="1:30" ht="15.75" customHeight="1" x14ac:dyDescent="0.2">
      <c r="A663" s="229"/>
      <c r="B663" s="229"/>
      <c r="C663" s="229"/>
      <c r="D663" s="229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  <c r="AA663" s="229"/>
      <c r="AB663" s="229"/>
      <c r="AC663" s="229"/>
      <c r="AD663" s="229"/>
    </row>
    <row r="664" spans="1:30" ht="15.75" customHeight="1" x14ac:dyDescent="0.2">
      <c r="A664" s="229"/>
      <c r="B664" s="229"/>
      <c r="C664" s="229"/>
      <c r="D664" s="229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  <c r="AA664" s="229"/>
      <c r="AB664" s="229"/>
      <c r="AC664" s="229"/>
      <c r="AD664" s="229"/>
    </row>
    <row r="665" spans="1:30" ht="15.75" customHeight="1" x14ac:dyDescent="0.2">
      <c r="A665" s="229"/>
      <c r="B665" s="229"/>
      <c r="C665" s="229"/>
      <c r="D665" s="229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  <c r="AA665" s="229"/>
      <c r="AB665" s="229"/>
      <c r="AC665" s="229"/>
      <c r="AD665" s="229"/>
    </row>
    <row r="666" spans="1:30" ht="15.75" customHeight="1" x14ac:dyDescent="0.2">
      <c r="A666" s="229"/>
      <c r="B666" s="229"/>
      <c r="C666" s="229"/>
      <c r="D666" s="229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  <c r="AA666" s="229"/>
      <c r="AB666" s="229"/>
      <c r="AC666" s="229"/>
      <c r="AD666" s="229"/>
    </row>
    <row r="667" spans="1:30" ht="15.75" customHeight="1" x14ac:dyDescent="0.2">
      <c r="A667" s="229"/>
      <c r="B667" s="229"/>
      <c r="C667" s="229"/>
      <c r="D667" s="229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  <c r="AA667" s="229"/>
      <c r="AB667" s="229"/>
      <c r="AC667" s="229"/>
      <c r="AD667" s="229"/>
    </row>
    <row r="668" spans="1:30" ht="15.75" customHeight="1" x14ac:dyDescent="0.2">
      <c r="A668" s="229"/>
      <c r="B668" s="229"/>
      <c r="C668" s="229"/>
      <c r="D668" s="229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  <c r="AA668" s="229"/>
      <c r="AB668" s="229"/>
      <c r="AC668" s="229"/>
      <c r="AD668" s="229"/>
    </row>
    <row r="669" spans="1:30" ht="15.75" customHeight="1" x14ac:dyDescent="0.2">
      <c r="A669" s="229"/>
      <c r="B669" s="229"/>
      <c r="C669" s="229"/>
      <c r="D669" s="229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  <c r="AA669" s="229"/>
      <c r="AB669" s="229"/>
      <c r="AC669" s="229"/>
      <c r="AD669" s="229"/>
    </row>
    <row r="670" spans="1:30" ht="15.75" customHeight="1" x14ac:dyDescent="0.2">
      <c r="A670" s="229"/>
      <c r="B670" s="229"/>
      <c r="C670" s="229"/>
      <c r="D670" s="229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  <c r="AA670" s="229"/>
      <c r="AB670" s="229"/>
      <c r="AC670" s="229"/>
      <c r="AD670" s="229"/>
    </row>
    <row r="671" spans="1:30" ht="15.75" customHeight="1" x14ac:dyDescent="0.2">
      <c r="A671" s="229"/>
      <c r="B671" s="229"/>
      <c r="C671" s="229"/>
      <c r="D671" s="229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  <c r="AA671" s="229"/>
      <c r="AB671" s="229"/>
      <c r="AC671" s="229"/>
      <c r="AD671" s="229"/>
    </row>
    <row r="672" spans="1:30" ht="15.75" customHeight="1" x14ac:dyDescent="0.2">
      <c r="A672" s="229"/>
      <c r="B672" s="229"/>
      <c r="C672" s="229"/>
      <c r="D672" s="229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  <c r="AA672" s="229"/>
      <c r="AB672" s="229"/>
      <c r="AC672" s="229"/>
      <c r="AD672" s="229"/>
    </row>
    <row r="673" spans="1:30" ht="15.75" customHeight="1" x14ac:dyDescent="0.2">
      <c r="A673" s="229"/>
      <c r="B673" s="229"/>
      <c r="C673" s="229"/>
      <c r="D673" s="229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  <c r="AA673" s="229"/>
      <c r="AB673" s="229"/>
      <c r="AC673" s="229"/>
      <c r="AD673" s="229"/>
    </row>
    <row r="674" spans="1:30" ht="15.75" customHeight="1" x14ac:dyDescent="0.2">
      <c r="A674" s="229"/>
      <c r="B674" s="229"/>
      <c r="C674" s="229"/>
      <c r="D674" s="229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  <c r="AA674" s="229"/>
      <c r="AB674" s="229"/>
      <c r="AC674" s="229"/>
      <c r="AD674" s="229"/>
    </row>
    <row r="675" spans="1:30" ht="15.75" customHeight="1" x14ac:dyDescent="0.2">
      <c r="A675" s="229"/>
      <c r="B675" s="229"/>
      <c r="C675" s="229"/>
      <c r="D675" s="229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  <c r="AA675" s="229"/>
      <c r="AB675" s="229"/>
      <c r="AC675" s="229"/>
      <c r="AD675" s="229"/>
    </row>
    <row r="676" spans="1:30" ht="15.75" customHeight="1" x14ac:dyDescent="0.2">
      <c r="A676" s="229"/>
      <c r="B676" s="229"/>
      <c r="C676" s="229"/>
      <c r="D676" s="229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  <c r="AA676" s="229"/>
      <c r="AB676" s="229"/>
      <c r="AC676" s="229"/>
      <c r="AD676" s="229"/>
    </row>
    <row r="677" spans="1:30" ht="15.75" customHeight="1" x14ac:dyDescent="0.2">
      <c r="A677" s="229"/>
      <c r="B677" s="229"/>
      <c r="C677" s="229"/>
      <c r="D677" s="229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  <c r="AA677" s="229"/>
      <c r="AB677" s="229"/>
      <c r="AC677" s="229"/>
      <c r="AD677" s="229"/>
    </row>
    <row r="678" spans="1:30" ht="15.75" customHeight="1" x14ac:dyDescent="0.2">
      <c r="A678" s="229"/>
      <c r="B678" s="229"/>
      <c r="C678" s="229"/>
      <c r="D678" s="229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  <c r="AA678" s="229"/>
      <c r="AB678" s="229"/>
      <c r="AC678" s="229"/>
      <c r="AD678" s="229"/>
    </row>
    <row r="679" spans="1:30" ht="15.75" customHeight="1" x14ac:dyDescent="0.2">
      <c r="A679" s="229"/>
      <c r="B679" s="229"/>
      <c r="C679" s="229"/>
      <c r="D679" s="229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  <c r="AA679" s="229"/>
      <c r="AB679" s="229"/>
      <c r="AC679" s="229"/>
      <c r="AD679" s="229"/>
    </row>
    <row r="680" spans="1:30" ht="15.75" customHeight="1" x14ac:dyDescent="0.2">
      <c r="A680" s="229"/>
      <c r="B680" s="229"/>
      <c r="C680" s="229"/>
      <c r="D680" s="229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  <c r="AA680" s="229"/>
      <c r="AB680" s="229"/>
      <c r="AC680" s="229"/>
      <c r="AD680" s="229"/>
    </row>
    <row r="681" spans="1:30" ht="15.75" customHeight="1" x14ac:dyDescent="0.2">
      <c r="A681" s="229"/>
      <c r="B681" s="229"/>
      <c r="C681" s="229"/>
      <c r="D681" s="229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  <c r="AA681" s="229"/>
      <c r="AB681" s="229"/>
      <c r="AC681" s="229"/>
      <c r="AD681" s="229"/>
    </row>
    <row r="682" spans="1:30" ht="15.75" customHeight="1" x14ac:dyDescent="0.2">
      <c r="A682" s="229"/>
      <c r="B682" s="229"/>
      <c r="C682" s="229"/>
      <c r="D682" s="229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  <c r="AA682" s="229"/>
      <c r="AB682" s="229"/>
      <c r="AC682" s="229"/>
      <c r="AD682" s="229"/>
    </row>
    <row r="683" spans="1:30" ht="15.75" customHeight="1" x14ac:dyDescent="0.2">
      <c r="A683" s="229"/>
      <c r="B683" s="229"/>
      <c r="C683" s="229"/>
      <c r="D683" s="229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  <c r="AA683" s="229"/>
      <c r="AB683" s="229"/>
      <c r="AC683" s="229"/>
      <c r="AD683" s="229"/>
    </row>
    <row r="684" spans="1:30" ht="15.75" customHeight="1" x14ac:dyDescent="0.2">
      <c r="A684" s="229"/>
      <c r="B684" s="229"/>
      <c r="C684" s="229"/>
      <c r="D684" s="229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  <c r="AA684" s="229"/>
      <c r="AB684" s="229"/>
      <c r="AC684" s="229"/>
      <c r="AD684" s="229"/>
    </row>
    <row r="685" spans="1:30" ht="15.75" customHeight="1" x14ac:dyDescent="0.2">
      <c r="A685" s="229"/>
      <c r="B685" s="229"/>
      <c r="C685" s="229"/>
      <c r="D685" s="229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  <c r="AA685" s="229"/>
      <c r="AB685" s="229"/>
      <c r="AC685" s="229"/>
      <c r="AD685" s="229"/>
    </row>
    <row r="686" spans="1:30" ht="15.75" customHeight="1" x14ac:dyDescent="0.2">
      <c r="A686" s="229"/>
      <c r="B686" s="229"/>
      <c r="C686" s="229"/>
      <c r="D686" s="229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  <c r="AA686" s="229"/>
      <c r="AB686" s="229"/>
      <c r="AC686" s="229"/>
      <c r="AD686" s="229"/>
    </row>
    <row r="687" spans="1:30" ht="15.75" customHeight="1" x14ac:dyDescent="0.2">
      <c r="A687" s="229"/>
      <c r="B687" s="229"/>
      <c r="C687" s="229"/>
      <c r="D687" s="229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  <c r="AA687" s="229"/>
      <c r="AB687" s="229"/>
      <c r="AC687" s="229"/>
      <c r="AD687" s="229"/>
    </row>
    <row r="688" spans="1:30" ht="15.75" customHeight="1" x14ac:dyDescent="0.2">
      <c r="A688" s="229"/>
      <c r="B688" s="229"/>
      <c r="C688" s="229"/>
      <c r="D688" s="229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  <c r="AA688" s="229"/>
      <c r="AB688" s="229"/>
      <c r="AC688" s="229"/>
      <c r="AD688" s="229"/>
    </row>
    <row r="689" spans="1:30" ht="15.75" customHeight="1" x14ac:dyDescent="0.2">
      <c r="A689" s="229"/>
      <c r="B689" s="229"/>
      <c r="C689" s="229"/>
      <c r="D689" s="229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  <c r="AA689" s="229"/>
      <c r="AB689" s="229"/>
      <c r="AC689" s="229"/>
      <c r="AD689" s="229"/>
    </row>
    <row r="690" spans="1:30" ht="15.75" customHeight="1" x14ac:dyDescent="0.2">
      <c r="A690" s="229"/>
      <c r="B690" s="229"/>
      <c r="C690" s="229"/>
      <c r="D690" s="229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  <c r="AA690" s="229"/>
      <c r="AB690" s="229"/>
      <c r="AC690" s="229"/>
      <c r="AD690" s="229"/>
    </row>
    <row r="691" spans="1:30" ht="15.75" customHeight="1" x14ac:dyDescent="0.2">
      <c r="A691" s="229"/>
      <c r="B691" s="229"/>
      <c r="C691" s="229"/>
      <c r="D691" s="229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  <c r="AA691" s="229"/>
      <c r="AB691" s="229"/>
      <c r="AC691" s="229"/>
      <c r="AD691" s="229"/>
    </row>
    <row r="692" spans="1:30" ht="15.75" customHeight="1" x14ac:dyDescent="0.2">
      <c r="A692" s="229"/>
      <c r="B692" s="229"/>
      <c r="C692" s="229"/>
      <c r="D692" s="229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  <c r="AA692" s="229"/>
      <c r="AB692" s="229"/>
      <c r="AC692" s="229"/>
      <c r="AD692" s="229"/>
    </row>
    <row r="693" spans="1:30" ht="15.75" customHeight="1" x14ac:dyDescent="0.2">
      <c r="A693" s="229"/>
      <c r="B693" s="229"/>
      <c r="C693" s="229"/>
      <c r="D693" s="229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  <c r="AA693" s="229"/>
      <c r="AB693" s="229"/>
      <c r="AC693" s="229"/>
      <c r="AD693" s="229"/>
    </row>
    <row r="694" spans="1:30" ht="15.75" customHeight="1" x14ac:dyDescent="0.2">
      <c r="A694" s="229"/>
      <c r="B694" s="229"/>
      <c r="C694" s="229"/>
      <c r="D694" s="229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  <c r="AA694" s="229"/>
      <c r="AB694" s="229"/>
      <c r="AC694" s="229"/>
      <c r="AD694" s="229"/>
    </row>
    <row r="695" spans="1:30" ht="15.75" customHeight="1" x14ac:dyDescent="0.2">
      <c r="A695" s="229"/>
      <c r="B695" s="229"/>
      <c r="C695" s="229"/>
      <c r="D695" s="229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  <c r="AA695" s="229"/>
      <c r="AB695" s="229"/>
      <c r="AC695" s="229"/>
      <c r="AD695" s="229"/>
    </row>
    <row r="696" spans="1:30" ht="15.75" customHeight="1" x14ac:dyDescent="0.2">
      <c r="A696" s="229"/>
      <c r="B696" s="229"/>
      <c r="C696" s="229"/>
      <c r="D696" s="229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  <c r="AA696" s="229"/>
      <c r="AB696" s="229"/>
      <c r="AC696" s="229"/>
      <c r="AD696" s="229"/>
    </row>
    <row r="697" spans="1:30" ht="15.75" customHeight="1" x14ac:dyDescent="0.2">
      <c r="A697" s="229"/>
      <c r="B697" s="229"/>
      <c r="C697" s="229"/>
      <c r="D697" s="229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  <c r="AA697" s="229"/>
      <c r="AB697" s="229"/>
      <c r="AC697" s="229"/>
      <c r="AD697" s="229"/>
    </row>
    <row r="698" spans="1:30" ht="15.75" customHeight="1" x14ac:dyDescent="0.2">
      <c r="A698" s="229"/>
      <c r="B698" s="229"/>
      <c r="C698" s="229"/>
      <c r="D698" s="229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  <c r="AA698" s="229"/>
      <c r="AB698" s="229"/>
      <c r="AC698" s="229"/>
      <c r="AD698" s="229"/>
    </row>
    <row r="699" spans="1:30" ht="15.75" customHeight="1" x14ac:dyDescent="0.2">
      <c r="A699" s="229"/>
      <c r="B699" s="229"/>
      <c r="C699" s="229"/>
      <c r="D699" s="229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  <c r="AA699" s="229"/>
      <c r="AB699" s="229"/>
      <c r="AC699" s="229"/>
      <c r="AD699" s="229"/>
    </row>
    <row r="700" spans="1:30" ht="15.75" customHeight="1" x14ac:dyDescent="0.2">
      <c r="A700" s="229"/>
      <c r="B700" s="229"/>
      <c r="C700" s="229"/>
      <c r="D700" s="229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  <c r="AA700" s="229"/>
      <c r="AB700" s="229"/>
      <c r="AC700" s="229"/>
      <c r="AD700" s="229"/>
    </row>
    <row r="701" spans="1:30" ht="15.75" customHeight="1" x14ac:dyDescent="0.2">
      <c r="A701" s="229"/>
      <c r="B701" s="229"/>
      <c r="C701" s="229"/>
      <c r="D701" s="229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  <c r="AA701" s="229"/>
      <c r="AB701" s="229"/>
      <c r="AC701" s="229"/>
      <c r="AD701" s="229"/>
    </row>
    <row r="702" spans="1:30" ht="15.75" customHeight="1" x14ac:dyDescent="0.2">
      <c r="A702" s="229"/>
      <c r="B702" s="229"/>
      <c r="C702" s="229"/>
      <c r="D702" s="229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  <c r="AA702" s="229"/>
      <c r="AB702" s="229"/>
      <c r="AC702" s="229"/>
      <c r="AD702" s="229"/>
    </row>
    <row r="703" spans="1:30" ht="15.75" customHeight="1" x14ac:dyDescent="0.2">
      <c r="A703" s="229"/>
      <c r="B703" s="229"/>
      <c r="C703" s="229"/>
      <c r="D703" s="229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  <c r="AA703" s="229"/>
      <c r="AB703" s="229"/>
      <c r="AC703" s="229"/>
      <c r="AD703" s="229"/>
    </row>
    <row r="704" spans="1:30" ht="15.75" customHeight="1" x14ac:dyDescent="0.2">
      <c r="A704" s="229"/>
      <c r="B704" s="229"/>
      <c r="C704" s="229"/>
      <c r="D704" s="229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  <c r="AA704" s="229"/>
      <c r="AB704" s="229"/>
      <c r="AC704" s="229"/>
      <c r="AD704" s="229"/>
    </row>
    <row r="705" spans="1:30" ht="15.75" customHeight="1" x14ac:dyDescent="0.2">
      <c r="A705" s="229"/>
      <c r="B705" s="229"/>
      <c r="C705" s="229"/>
      <c r="D705" s="229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  <c r="AA705" s="229"/>
      <c r="AB705" s="229"/>
      <c r="AC705" s="229"/>
      <c r="AD705" s="229"/>
    </row>
    <row r="706" spans="1:30" ht="15.75" customHeight="1" x14ac:dyDescent="0.2">
      <c r="A706" s="229"/>
      <c r="B706" s="229"/>
      <c r="C706" s="229"/>
      <c r="D706" s="229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  <c r="AA706" s="229"/>
      <c r="AB706" s="229"/>
      <c r="AC706" s="229"/>
      <c r="AD706" s="229"/>
    </row>
    <row r="707" spans="1:30" ht="15.75" customHeight="1" x14ac:dyDescent="0.2">
      <c r="A707" s="229"/>
      <c r="B707" s="229"/>
      <c r="C707" s="229"/>
      <c r="D707" s="229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  <c r="AA707" s="229"/>
      <c r="AB707" s="229"/>
      <c r="AC707" s="229"/>
      <c r="AD707" s="229"/>
    </row>
    <row r="708" spans="1:30" ht="15.75" customHeight="1" x14ac:dyDescent="0.2">
      <c r="A708" s="229"/>
      <c r="B708" s="229"/>
      <c r="C708" s="229"/>
      <c r="D708" s="229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  <c r="AA708" s="229"/>
      <c r="AB708" s="229"/>
      <c r="AC708" s="229"/>
      <c r="AD708" s="229"/>
    </row>
    <row r="709" spans="1:30" ht="15.75" customHeight="1" x14ac:dyDescent="0.2">
      <c r="A709" s="229"/>
      <c r="B709" s="229"/>
      <c r="C709" s="229"/>
      <c r="D709" s="229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  <c r="AA709" s="229"/>
      <c r="AB709" s="229"/>
      <c r="AC709" s="229"/>
      <c r="AD709" s="229"/>
    </row>
    <row r="710" spans="1:30" ht="15.75" customHeight="1" x14ac:dyDescent="0.2">
      <c r="A710" s="229"/>
      <c r="B710" s="229"/>
      <c r="C710" s="229"/>
      <c r="D710" s="229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  <c r="AA710" s="229"/>
      <c r="AB710" s="229"/>
      <c r="AC710" s="229"/>
      <c r="AD710" s="229"/>
    </row>
    <row r="711" spans="1:30" ht="15.75" customHeight="1" x14ac:dyDescent="0.2">
      <c r="A711" s="229"/>
      <c r="B711" s="229"/>
      <c r="C711" s="229"/>
      <c r="D711" s="229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  <c r="AA711" s="229"/>
      <c r="AB711" s="229"/>
      <c r="AC711" s="229"/>
      <c r="AD711" s="229"/>
    </row>
    <row r="712" spans="1:30" ht="15.75" customHeight="1" x14ac:dyDescent="0.2">
      <c r="A712" s="229"/>
      <c r="B712" s="229"/>
      <c r="C712" s="229"/>
      <c r="D712" s="229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  <c r="AA712" s="229"/>
      <c r="AB712" s="229"/>
      <c r="AC712" s="229"/>
      <c r="AD712" s="229"/>
    </row>
    <row r="713" spans="1:30" ht="15.75" customHeight="1" x14ac:dyDescent="0.2">
      <c r="A713" s="229"/>
      <c r="B713" s="229"/>
      <c r="C713" s="229"/>
      <c r="D713" s="229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  <c r="AA713" s="229"/>
      <c r="AB713" s="229"/>
      <c r="AC713" s="229"/>
      <c r="AD713" s="229"/>
    </row>
    <row r="714" spans="1:30" ht="15.75" customHeight="1" x14ac:dyDescent="0.2">
      <c r="A714" s="229"/>
      <c r="B714" s="229"/>
      <c r="C714" s="229"/>
      <c r="D714" s="229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  <c r="AA714" s="229"/>
      <c r="AB714" s="229"/>
      <c r="AC714" s="229"/>
      <c r="AD714" s="229"/>
    </row>
    <row r="715" spans="1:30" ht="15.75" customHeight="1" x14ac:dyDescent="0.2">
      <c r="A715" s="229"/>
      <c r="B715" s="229"/>
      <c r="C715" s="229"/>
      <c r="D715" s="229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  <c r="AA715" s="229"/>
      <c r="AB715" s="229"/>
      <c r="AC715" s="229"/>
      <c r="AD715" s="229"/>
    </row>
    <row r="716" spans="1:30" ht="15.75" customHeight="1" x14ac:dyDescent="0.2">
      <c r="A716" s="229"/>
      <c r="B716" s="229"/>
      <c r="C716" s="229"/>
      <c r="D716" s="229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  <c r="AA716" s="229"/>
      <c r="AB716" s="229"/>
      <c r="AC716" s="229"/>
      <c r="AD716" s="229"/>
    </row>
    <row r="717" spans="1:30" ht="15.75" customHeight="1" x14ac:dyDescent="0.2">
      <c r="A717" s="229"/>
      <c r="B717" s="229"/>
      <c r="C717" s="229"/>
      <c r="D717" s="229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  <c r="AA717" s="229"/>
      <c r="AB717" s="229"/>
      <c r="AC717" s="229"/>
      <c r="AD717" s="229"/>
    </row>
    <row r="718" spans="1:30" ht="15.75" customHeight="1" x14ac:dyDescent="0.2">
      <c r="A718" s="229"/>
      <c r="B718" s="229"/>
      <c r="C718" s="229"/>
      <c r="D718" s="229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  <c r="AA718" s="229"/>
      <c r="AB718" s="229"/>
      <c r="AC718" s="229"/>
      <c r="AD718" s="229"/>
    </row>
    <row r="719" spans="1:30" ht="15.75" customHeight="1" x14ac:dyDescent="0.2">
      <c r="A719" s="229"/>
      <c r="B719" s="229"/>
      <c r="C719" s="229"/>
      <c r="D719" s="229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  <c r="AA719" s="229"/>
      <c r="AB719" s="229"/>
      <c r="AC719" s="229"/>
      <c r="AD719" s="229"/>
    </row>
    <row r="720" spans="1:30" ht="15.75" customHeight="1" x14ac:dyDescent="0.2">
      <c r="A720" s="229"/>
      <c r="B720" s="229"/>
      <c r="C720" s="229"/>
      <c r="D720" s="229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  <c r="AA720" s="229"/>
      <c r="AB720" s="229"/>
      <c r="AC720" s="229"/>
      <c r="AD720" s="229"/>
    </row>
    <row r="721" spans="1:30" ht="15.75" customHeight="1" x14ac:dyDescent="0.2">
      <c r="A721" s="229"/>
      <c r="B721" s="229"/>
      <c r="C721" s="229"/>
      <c r="D721" s="229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  <c r="AA721" s="229"/>
      <c r="AB721" s="229"/>
      <c r="AC721" s="229"/>
      <c r="AD721" s="229"/>
    </row>
    <row r="722" spans="1:30" ht="15.75" customHeight="1" x14ac:dyDescent="0.2">
      <c r="A722" s="229"/>
      <c r="B722" s="229"/>
      <c r="C722" s="229"/>
      <c r="D722" s="229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  <c r="AA722" s="229"/>
      <c r="AB722" s="229"/>
      <c r="AC722" s="229"/>
      <c r="AD722" s="229"/>
    </row>
    <row r="723" spans="1:30" ht="15.75" customHeight="1" x14ac:dyDescent="0.2">
      <c r="A723" s="229"/>
      <c r="B723" s="229"/>
      <c r="C723" s="229"/>
      <c r="D723" s="229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  <c r="AA723" s="229"/>
      <c r="AB723" s="229"/>
      <c r="AC723" s="229"/>
      <c r="AD723" s="229"/>
    </row>
    <row r="724" spans="1:30" ht="15.75" customHeight="1" x14ac:dyDescent="0.2">
      <c r="A724" s="229"/>
      <c r="B724" s="229"/>
      <c r="C724" s="229"/>
      <c r="D724" s="229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  <c r="AA724" s="229"/>
      <c r="AB724" s="229"/>
      <c r="AC724" s="229"/>
      <c r="AD724" s="229"/>
    </row>
    <row r="725" spans="1:30" ht="15.75" customHeight="1" x14ac:dyDescent="0.2">
      <c r="A725" s="229"/>
      <c r="B725" s="229"/>
      <c r="C725" s="229"/>
      <c r="D725" s="229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  <c r="AA725" s="229"/>
      <c r="AB725" s="229"/>
      <c r="AC725" s="229"/>
      <c r="AD725" s="229"/>
    </row>
    <row r="726" spans="1:30" ht="15.75" customHeight="1" x14ac:dyDescent="0.2">
      <c r="A726" s="229"/>
      <c r="B726" s="229"/>
      <c r="C726" s="229"/>
      <c r="D726" s="229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  <c r="AA726" s="229"/>
      <c r="AB726" s="229"/>
      <c r="AC726" s="229"/>
      <c r="AD726" s="229"/>
    </row>
    <row r="727" spans="1:30" ht="15.75" customHeight="1" x14ac:dyDescent="0.2">
      <c r="A727" s="229"/>
      <c r="B727" s="229"/>
      <c r="C727" s="229"/>
      <c r="D727" s="229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  <c r="AA727" s="229"/>
      <c r="AB727" s="229"/>
      <c r="AC727" s="229"/>
      <c r="AD727" s="229"/>
    </row>
    <row r="728" spans="1:30" ht="15.75" customHeight="1" x14ac:dyDescent="0.2">
      <c r="A728" s="229"/>
      <c r="B728" s="229"/>
      <c r="C728" s="229"/>
      <c r="D728" s="229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  <c r="AA728" s="229"/>
      <c r="AB728" s="229"/>
      <c r="AC728" s="229"/>
      <c r="AD728" s="229"/>
    </row>
    <row r="729" spans="1:30" ht="15.75" customHeight="1" x14ac:dyDescent="0.2">
      <c r="A729" s="229"/>
      <c r="B729" s="229"/>
      <c r="C729" s="229"/>
      <c r="D729" s="229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  <c r="AA729" s="229"/>
      <c r="AB729" s="229"/>
      <c r="AC729" s="229"/>
      <c r="AD729" s="229"/>
    </row>
    <row r="730" spans="1:30" ht="15.75" customHeight="1" x14ac:dyDescent="0.2">
      <c r="A730" s="229"/>
      <c r="B730" s="229"/>
      <c r="C730" s="229"/>
      <c r="D730" s="229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  <c r="AA730" s="229"/>
      <c r="AB730" s="229"/>
      <c r="AC730" s="229"/>
      <c r="AD730" s="229"/>
    </row>
    <row r="731" spans="1:30" ht="15.75" customHeight="1" x14ac:dyDescent="0.2">
      <c r="A731" s="229"/>
      <c r="B731" s="229"/>
      <c r="C731" s="229"/>
      <c r="D731" s="229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  <c r="AA731" s="229"/>
      <c r="AB731" s="229"/>
      <c r="AC731" s="229"/>
      <c r="AD731" s="229"/>
    </row>
    <row r="732" spans="1:30" ht="15.75" customHeight="1" x14ac:dyDescent="0.2">
      <c r="A732" s="229"/>
      <c r="B732" s="229"/>
      <c r="C732" s="229"/>
      <c r="D732" s="229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  <c r="AA732" s="229"/>
      <c r="AB732" s="229"/>
      <c r="AC732" s="229"/>
      <c r="AD732" s="229"/>
    </row>
    <row r="733" spans="1:30" ht="15.75" customHeight="1" x14ac:dyDescent="0.2">
      <c r="A733" s="229"/>
      <c r="B733" s="229"/>
      <c r="C733" s="229"/>
      <c r="D733" s="229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  <c r="AA733" s="229"/>
      <c r="AB733" s="229"/>
      <c r="AC733" s="229"/>
      <c r="AD733" s="229"/>
    </row>
    <row r="734" spans="1:30" ht="15.75" customHeight="1" x14ac:dyDescent="0.2">
      <c r="A734" s="229"/>
      <c r="B734" s="229"/>
      <c r="C734" s="229"/>
      <c r="D734" s="229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  <c r="AA734" s="229"/>
      <c r="AB734" s="229"/>
      <c r="AC734" s="229"/>
      <c r="AD734" s="229"/>
    </row>
    <row r="735" spans="1:30" ht="15.75" customHeight="1" x14ac:dyDescent="0.2">
      <c r="A735" s="229"/>
      <c r="B735" s="229"/>
      <c r="C735" s="229"/>
      <c r="D735" s="229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  <c r="AA735" s="229"/>
      <c r="AB735" s="229"/>
      <c r="AC735" s="229"/>
      <c r="AD735" s="229"/>
    </row>
    <row r="736" spans="1:30" ht="15.75" customHeight="1" x14ac:dyDescent="0.2">
      <c r="A736" s="229"/>
      <c r="B736" s="229"/>
      <c r="C736" s="229"/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  <c r="AA736" s="229"/>
      <c r="AB736" s="229"/>
      <c r="AC736" s="229"/>
      <c r="AD736" s="229"/>
    </row>
    <row r="737" spans="1:30" ht="15.75" customHeight="1" x14ac:dyDescent="0.2">
      <c r="A737" s="229"/>
      <c r="B737" s="229"/>
      <c r="C737" s="229"/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  <c r="AA737" s="229"/>
      <c r="AB737" s="229"/>
      <c r="AC737" s="229"/>
      <c r="AD737" s="229"/>
    </row>
    <row r="738" spans="1:30" ht="15.75" customHeight="1" x14ac:dyDescent="0.2">
      <c r="A738" s="229"/>
      <c r="B738" s="229"/>
      <c r="C738" s="229"/>
      <c r="D738" s="229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  <c r="AA738" s="229"/>
      <c r="AB738" s="229"/>
      <c r="AC738" s="229"/>
      <c r="AD738" s="229"/>
    </row>
    <row r="739" spans="1:30" ht="15.75" customHeight="1" x14ac:dyDescent="0.2">
      <c r="A739" s="229"/>
      <c r="B739" s="229"/>
      <c r="C739" s="229"/>
      <c r="D739" s="229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  <c r="AA739" s="229"/>
      <c r="AB739" s="229"/>
      <c r="AC739" s="229"/>
      <c r="AD739" s="229"/>
    </row>
    <row r="740" spans="1:30" ht="15.75" customHeight="1" x14ac:dyDescent="0.2">
      <c r="A740" s="229"/>
      <c r="B740" s="229"/>
      <c r="C740" s="229"/>
      <c r="D740" s="229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  <c r="AA740" s="229"/>
      <c r="AB740" s="229"/>
      <c r="AC740" s="229"/>
      <c r="AD740" s="229"/>
    </row>
    <row r="741" spans="1:30" ht="15.75" customHeight="1" x14ac:dyDescent="0.2">
      <c r="A741" s="229"/>
      <c r="B741" s="229"/>
      <c r="C741" s="229"/>
      <c r="D741" s="229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  <c r="AA741" s="229"/>
      <c r="AB741" s="229"/>
      <c r="AC741" s="229"/>
      <c r="AD741" s="229"/>
    </row>
    <row r="742" spans="1:30" ht="15.75" customHeight="1" x14ac:dyDescent="0.2">
      <c r="A742" s="229"/>
      <c r="B742" s="229"/>
      <c r="C742" s="229"/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  <c r="AA742" s="229"/>
      <c r="AB742" s="229"/>
      <c r="AC742" s="229"/>
      <c r="AD742" s="229"/>
    </row>
    <row r="743" spans="1:30" ht="15.75" customHeight="1" x14ac:dyDescent="0.2">
      <c r="A743" s="229"/>
      <c r="B743" s="229"/>
      <c r="C743" s="229"/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  <c r="AA743" s="229"/>
      <c r="AB743" s="229"/>
      <c r="AC743" s="229"/>
      <c r="AD743" s="229"/>
    </row>
    <row r="744" spans="1:30" ht="15.75" customHeight="1" x14ac:dyDescent="0.2">
      <c r="A744" s="229"/>
      <c r="B744" s="229"/>
      <c r="C744" s="229"/>
      <c r="D744" s="229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  <c r="AA744" s="229"/>
      <c r="AB744" s="229"/>
      <c r="AC744" s="229"/>
      <c r="AD744" s="229"/>
    </row>
    <row r="745" spans="1:30" ht="15.75" customHeight="1" x14ac:dyDescent="0.2">
      <c r="A745" s="229"/>
      <c r="B745" s="229"/>
      <c r="C745" s="229"/>
      <c r="D745" s="229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  <c r="AA745" s="229"/>
      <c r="AB745" s="229"/>
      <c r="AC745" s="229"/>
      <c r="AD745" s="229"/>
    </row>
    <row r="746" spans="1:30" ht="15.75" customHeight="1" x14ac:dyDescent="0.2">
      <c r="A746" s="229"/>
      <c r="B746" s="229"/>
      <c r="C746" s="229"/>
      <c r="D746" s="229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  <c r="AA746" s="229"/>
      <c r="AB746" s="229"/>
      <c r="AC746" s="229"/>
      <c r="AD746" s="229"/>
    </row>
    <row r="747" spans="1:30" ht="15.75" customHeight="1" x14ac:dyDescent="0.2">
      <c r="A747" s="229"/>
      <c r="B747" s="229"/>
      <c r="C747" s="229"/>
      <c r="D747" s="229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  <c r="AA747" s="229"/>
      <c r="AB747" s="229"/>
      <c r="AC747" s="229"/>
      <c r="AD747" s="229"/>
    </row>
    <row r="748" spans="1:30" ht="15.75" customHeight="1" x14ac:dyDescent="0.2">
      <c r="A748" s="229"/>
      <c r="B748" s="229"/>
      <c r="C748" s="229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  <c r="AA748" s="229"/>
      <c r="AB748" s="229"/>
      <c r="AC748" s="229"/>
      <c r="AD748" s="229"/>
    </row>
    <row r="749" spans="1:30" ht="15.75" customHeight="1" x14ac:dyDescent="0.2">
      <c r="A749" s="229"/>
      <c r="B749" s="229"/>
      <c r="C749" s="229"/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  <c r="AA749" s="229"/>
      <c r="AB749" s="229"/>
      <c r="AC749" s="229"/>
      <c r="AD749" s="229"/>
    </row>
    <row r="750" spans="1:30" ht="15.75" customHeight="1" x14ac:dyDescent="0.2">
      <c r="A750" s="229"/>
      <c r="B750" s="229"/>
      <c r="C750" s="229"/>
      <c r="D750" s="229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  <c r="AA750" s="229"/>
      <c r="AB750" s="229"/>
      <c r="AC750" s="229"/>
      <c r="AD750" s="229"/>
    </row>
    <row r="751" spans="1:30" ht="15.75" customHeight="1" x14ac:dyDescent="0.2">
      <c r="A751" s="229"/>
      <c r="B751" s="229"/>
      <c r="C751" s="229"/>
      <c r="D751" s="229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  <c r="AA751" s="229"/>
      <c r="AB751" s="229"/>
      <c r="AC751" s="229"/>
      <c r="AD751" s="229"/>
    </row>
    <row r="752" spans="1:30" ht="15.75" customHeight="1" x14ac:dyDescent="0.2">
      <c r="A752" s="229"/>
      <c r="B752" s="229"/>
      <c r="C752" s="229"/>
      <c r="D752" s="229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  <c r="AA752" s="229"/>
      <c r="AB752" s="229"/>
      <c r="AC752" s="229"/>
      <c r="AD752" s="229"/>
    </row>
    <row r="753" spans="1:30" ht="15.75" customHeight="1" x14ac:dyDescent="0.2">
      <c r="A753" s="229"/>
      <c r="B753" s="229"/>
      <c r="C753" s="229"/>
      <c r="D753" s="229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  <c r="AA753" s="229"/>
      <c r="AB753" s="229"/>
      <c r="AC753" s="229"/>
      <c r="AD753" s="229"/>
    </row>
    <row r="754" spans="1:30" ht="15.75" customHeight="1" x14ac:dyDescent="0.2">
      <c r="A754" s="229"/>
      <c r="B754" s="229"/>
      <c r="C754" s="229"/>
      <c r="D754" s="229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  <c r="AA754" s="229"/>
      <c r="AB754" s="229"/>
      <c r="AC754" s="229"/>
      <c r="AD754" s="229"/>
    </row>
    <row r="755" spans="1:30" ht="15.75" customHeight="1" x14ac:dyDescent="0.2">
      <c r="A755" s="229"/>
      <c r="B755" s="229"/>
      <c r="C755" s="229"/>
      <c r="D755" s="229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  <c r="AA755" s="229"/>
      <c r="AB755" s="229"/>
      <c r="AC755" s="229"/>
      <c r="AD755" s="229"/>
    </row>
    <row r="756" spans="1:30" ht="15.75" customHeight="1" x14ac:dyDescent="0.2">
      <c r="A756" s="229"/>
      <c r="B756" s="229"/>
      <c r="C756" s="229"/>
      <c r="D756" s="229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  <c r="AA756" s="229"/>
      <c r="AB756" s="229"/>
      <c r="AC756" s="229"/>
      <c r="AD756" s="229"/>
    </row>
    <row r="757" spans="1:30" ht="15.75" customHeight="1" x14ac:dyDescent="0.2">
      <c r="A757" s="229"/>
      <c r="B757" s="229"/>
      <c r="C757" s="229"/>
      <c r="D757" s="229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  <c r="AA757" s="229"/>
      <c r="AB757" s="229"/>
      <c r="AC757" s="229"/>
      <c r="AD757" s="229"/>
    </row>
    <row r="758" spans="1:30" ht="15.75" customHeight="1" x14ac:dyDescent="0.2">
      <c r="A758" s="229"/>
      <c r="B758" s="229"/>
      <c r="C758" s="229"/>
      <c r="D758" s="229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  <c r="AA758" s="229"/>
      <c r="AB758" s="229"/>
      <c r="AC758" s="229"/>
      <c r="AD758" s="229"/>
    </row>
    <row r="759" spans="1:30" ht="15.75" customHeight="1" x14ac:dyDescent="0.2">
      <c r="A759" s="229"/>
      <c r="B759" s="229"/>
      <c r="C759" s="229"/>
      <c r="D759" s="229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  <c r="AA759" s="229"/>
      <c r="AB759" s="229"/>
      <c r="AC759" s="229"/>
      <c r="AD759" s="229"/>
    </row>
    <row r="760" spans="1:30" ht="15.75" customHeight="1" x14ac:dyDescent="0.2">
      <c r="A760" s="229"/>
      <c r="B760" s="229"/>
      <c r="C760" s="229"/>
      <c r="D760" s="229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  <c r="AA760" s="229"/>
      <c r="AB760" s="229"/>
      <c r="AC760" s="229"/>
      <c r="AD760" s="229"/>
    </row>
    <row r="761" spans="1:30" ht="15.75" customHeight="1" x14ac:dyDescent="0.2">
      <c r="A761" s="229"/>
      <c r="B761" s="229"/>
      <c r="C761" s="229"/>
      <c r="D761" s="229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  <c r="AA761" s="229"/>
      <c r="AB761" s="229"/>
      <c r="AC761" s="229"/>
      <c r="AD761" s="229"/>
    </row>
    <row r="762" spans="1:30" ht="15.75" customHeight="1" x14ac:dyDescent="0.2">
      <c r="A762" s="229"/>
      <c r="B762" s="229"/>
      <c r="C762" s="229"/>
      <c r="D762" s="229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  <c r="AA762" s="229"/>
      <c r="AB762" s="229"/>
      <c r="AC762" s="229"/>
      <c r="AD762" s="229"/>
    </row>
    <row r="763" spans="1:30" ht="15.75" customHeight="1" x14ac:dyDescent="0.2">
      <c r="A763" s="229"/>
      <c r="B763" s="229"/>
      <c r="C763" s="229"/>
      <c r="D763" s="229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  <c r="AA763" s="229"/>
      <c r="AB763" s="229"/>
      <c r="AC763" s="229"/>
      <c r="AD763" s="229"/>
    </row>
    <row r="764" spans="1:30" ht="15.75" customHeight="1" x14ac:dyDescent="0.2">
      <c r="A764" s="229"/>
      <c r="B764" s="229"/>
      <c r="C764" s="229"/>
      <c r="D764" s="229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  <c r="AA764" s="229"/>
      <c r="AB764" s="229"/>
      <c r="AC764" s="229"/>
      <c r="AD764" s="229"/>
    </row>
    <row r="765" spans="1:30" ht="15.75" customHeight="1" x14ac:dyDescent="0.2">
      <c r="A765" s="229"/>
      <c r="B765" s="229"/>
      <c r="C765" s="229"/>
      <c r="D765" s="229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  <c r="AA765" s="229"/>
      <c r="AB765" s="229"/>
      <c r="AC765" s="229"/>
      <c r="AD765" s="229"/>
    </row>
    <row r="766" spans="1:30" ht="15.75" customHeight="1" x14ac:dyDescent="0.2">
      <c r="A766" s="229"/>
      <c r="B766" s="229"/>
      <c r="C766" s="229"/>
      <c r="D766" s="229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  <c r="AA766" s="229"/>
      <c r="AB766" s="229"/>
      <c r="AC766" s="229"/>
      <c r="AD766" s="229"/>
    </row>
    <row r="767" spans="1:30" ht="15.75" customHeight="1" x14ac:dyDescent="0.2">
      <c r="A767" s="229"/>
      <c r="B767" s="229"/>
      <c r="C767" s="229"/>
      <c r="D767" s="229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  <c r="AA767" s="229"/>
      <c r="AB767" s="229"/>
      <c r="AC767" s="229"/>
      <c r="AD767" s="229"/>
    </row>
    <row r="768" spans="1:30" ht="15.75" customHeight="1" x14ac:dyDescent="0.2">
      <c r="A768" s="229"/>
      <c r="B768" s="229"/>
      <c r="C768" s="229"/>
      <c r="D768" s="229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  <c r="AA768" s="229"/>
      <c r="AB768" s="229"/>
      <c r="AC768" s="229"/>
      <c r="AD768" s="229"/>
    </row>
    <row r="769" spans="1:30" ht="15.75" customHeight="1" x14ac:dyDescent="0.2">
      <c r="A769" s="229"/>
      <c r="B769" s="229"/>
      <c r="C769" s="229"/>
      <c r="D769" s="229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  <c r="AA769" s="229"/>
      <c r="AB769" s="229"/>
      <c r="AC769" s="229"/>
      <c r="AD769" s="229"/>
    </row>
    <row r="770" spans="1:30" ht="15.75" customHeight="1" x14ac:dyDescent="0.2">
      <c r="A770" s="229"/>
      <c r="B770" s="229"/>
      <c r="C770" s="229"/>
      <c r="D770" s="229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  <c r="AA770" s="229"/>
      <c r="AB770" s="229"/>
      <c r="AC770" s="229"/>
      <c r="AD770" s="229"/>
    </row>
    <row r="771" spans="1:30" ht="15.75" customHeight="1" x14ac:dyDescent="0.2">
      <c r="A771" s="229"/>
      <c r="B771" s="229"/>
      <c r="C771" s="229"/>
      <c r="D771" s="229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  <c r="AA771" s="229"/>
      <c r="AB771" s="229"/>
      <c r="AC771" s="229"/>
      <c r="AD771" s="229"/>
    </row>
    <row r="772" spans="1:30" ht="15.75" customHeight="1" x14ac:dyDescent="0.2">
      <c r="A772" s="229"/>
      <c r="B772" s="229"/>
      <c r="C772" s="229"/>
      <c r="D772" s="229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  <c r="AA772" s="229"/>
      <c r="AB772" s="229"/>
      <c r="AC772" s="229"/>
      <c r="AD772" s="229"/>
    </row>
    <row r="773" spans="1:30" ht="15.75" customHeight="1" x14ac:dyDescent="0.2">
      <c r="A773" s="229"/>
      <c r="B773" s="229"/>
      <c r="C773" s="229"/>
      <c r="D773" s="229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  <c r="AA773" s="229"/>
      <c r="AB773" s="229"/>
      <c r="AC773" s="229"/>
      <c r="AD773" s="229"/>
    </row>
    <row r="774" spans="1:30" ht="15.75" customHeight="1" x14ac:dyDescent="0.2">
      <c r="A774" s="229"/>
      <c r="B774" s="229"/>
      <c r="C774" s="229"/>
      <c r="D774" s="229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  <c r="AA774" s="229"/>
      <c r="AB774" s="229"/>
      <c r="AC774" s="229"/>
      <c r="AD774" s="229"/>
    </row>
    <row r="775" spans="1:30" ht="15.75" customHeight="1" x14ac:dyDescent="0.2">
      <c r="A775" s="229"/>
      <c r="B775" s="229"/>
      <c r="C775" s="229"/>
      <c r="D775" s="229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  <c r="AA775" s="229"/>
      <c r="AB775" s="229"/>
      <c r="AC775" s="229"/>
      <c r="AD775" s="229"/>
    </row>
    <row r="776" spans="1:30" ht="15.75" customHeight="1" x14ac:dyDescent="0.2">
      <c r="A776" s="229"/>
      <c r="B776" s="229"/>
      <c r="C776" s="229"/>
      <c r="D776" s="229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  <c r="AA776" s="229"/>
      <c r="AB776" s="229"/>
      <c r="AC776" s="229"/>
      <c r="AD776" s="229"/>
    </row>
    <row r="777" spans="1:30" ht="15.75" customHeight="1" x14ac:dyDescent="0.2">
      <c r="A777" s="229"/>
      <c r="B777" s="229"/>
      <c r="C777" s="229"/>
      <c r="D777" s="229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  <c r="AA777" s="229"/>
      <c r="AB777" s="229"/>
      <c r="AC777" s="229"/>
      <c r="AD777" s="229"/>
    </row>
    <row r="778" spans="1:30" ht="15.75" customHeight="1" x14ac:dyDescent="0.2">
      <c r="A778" s="229"/>
      <c r="B778" s="229"/>
      <c r="C778" s="229"/>
      <c r="D778" s="229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  <c r="AA778" s="229"/>
      <c r="AB778" s="229"/>
      <c r="AC778" s="229"/>
      <c r="AD778" s="229"/>
    </row>
    <row r="779" spans="1:30" ht="15.75" customHeight="1" x14ac:dyDescent="0.2">
      <c r="A779" s="229"/>
      <c r="B779" s="229"/>
      <c r="C779" s="229"/>
      <c r="D779" s="229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  <c r="AA779" s="229"/>
      <c r="AB779" s="229"/>
      <c r="AC779" s="229"/>
      <c r="AD779" s="229"/>
    </row>
    <row r="780" spans="1:30" ht="15.75" customHeight="1" x14ac:dyDescent="0.2">
      <c r="A780" s="229"/>
      <c r="B780" s="229"/>
      <c r="C780" s="229"/>
      <c r="D780" s="229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  <c r="AA780" s="229"/>
      <c r="AB780" s="229"/>
      <c r="AC780" s="229"/>
      <c r="AD780" s="229"/>
    </row>
    <row r="781" spans="1:30" ht="15.75" customHeight="1" x14ac:dyDescent="0.2">
      <c r="A781" s="229"/>
      <c r="B781" s="229"/>
      <c r="C781" s="229"/>
      <c r="D781" s="229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  <c r="AA781" s="229"/>
      <c r="AB781" s="229"/>
      <c r="AC781" s="229"/>
      <c r="AD781" s="229"/>
    </row>
    <row r="782" spans="1:30" ht="15.75" customHeight="1" x14ac:dyDescent="0.2">
      <c r="A782" s="229"/>
      <c r="B782" s="229"/>
      <c r="C782" s="229"/>
      <c r="D782" s="229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  <c r="AA782" s="229"/>
      <c r="AB782" s="229"/>
      <c r="AC782" s="229"/>
      <c r="AD782" s="229"/>
    </row>
    <row r="783" spans="1:30" ht="15.75" customHeight="1" x14ac:dyDescent="0.2">
      <c r="A783" s="229"/>
      <c r="B783" s="229"/>
      <c r="C783" s="229"/>
      <c r="D783" s="229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  <c r="AA783" s="229"/>
      <c r="AB783" s="229"/>
      <c r="AC783" s="229"/>
      <c r="AD783" s="229"/>
    </row>
    <row r="784" spans="1:30" ht="15.75" customHeight="1" x14ac:dyDescent="0.2">
      <c r="A784" s="229"/>
      <c r="B784" s="229"/>
      <c r="C784" s="229"/>
      <c r="D784" s="229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  <c r="AA784" s="229"/>
      <c r="AB784" s="229"/>
      <c r="AC784" s="229"/>
      <c r="AD784" s="229"/>
    </row>
    <row r="785" spans="1:30" ht="15.75" customHeight="1" x14ac:dyDescent="0.2">
      <c r="A785" s="229"/>
      <c r="B785" s="229"/>
      <c r="C785" s="229"/>
      <c r="D785" s="229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  <c r="AA785" s="229"/>
      <c r="AB785" s="229"/>
      <c r="AC785" s="229"/>
      <c r="AD785" s="229"/>
    </row>
    <row r="786" spans="1:30" ht="15.75" customHeight="1" x14ac:dyDescent="0.2">
      <c r="A786" s="229"/>
      <c r="B786" s="229"/>
      <c r="C786" s="229"/>
      <c r="D786" s="229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  <c r="AA786" s="229"/>
      <c r="AB786" s="229"/>
      <c r="AC786" s="229"/>
      <c r="AD786" s="229"/>
    </row>
    <row r="787" spans="1:30" ht="15.75" customHeight="1" x14ac:dyDescent="0.2">
      <c r="A787" s="229"/>
      <c r="B787" s="229"/>
      <c r="C787" s="229"/>
      <c r="D787" s="229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  <c r="AA787" s="229"/>
      <c r="AB787" s="229"/>
      <c r="AC787" s="229"/>
      <c r="AD787" s="229"/>
    </row>
    <row r="788" spans="1:30" ht="15.75" customHeight="1" x14ac:dyDescent="0.2">
      <c r="A788" s="229"/>
      <c r="B788" s="229"/>
      <c r="C788" s="229"/>
      <c r="D788" s="229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  <c r="AA788" s="229"/>
      <c r="AB788" s="229"/>
      <c r="AC788" s="229"/>
      <c r="AD788" s="229"/>
    </row>
    <row r="789" spans="1:30" ht="15.75" customHeight="1" x14ac:dyDescent="0.2">
      <c r="A789" s="229"/>
      <c r="B789" s="229"/>
      <c r="C789" s="229"/>
      <c r="D789" s="229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  <c r="AA789" s="229"/>
      <c r="AB789" s="229"/>
      <c r="AC789" s="229"/>
      <c r="AD789" s="229"/>
    </row>
    <row r="790" spans="1:30" ht="15.75" customHeight="1" x14ac:dyDescent="0.2">
      <c r="A790" s="229"/>
      <c r="B790" s="229"/>
      <c r="C790" s="229"/>
      <c r="D790" s="229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  <c r="AA790" s="229"/>
      <c r="AB790" s="229"/>
      <c r="AC790" s="229"/>
      <c r="AD790" s="229"/>
    </row>
    <row r="791" spans="1:30" ht="15.75" customHeight="1" x14ac:dyDescent="0.2">
      <c r="A791" s="229"/>
      <c r="B791" s="229"/>
      <c r="C791" s="229"/>
      <c r="D791" s="229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  <c r="AA791" s="229"/>
      <c r="AB791" s="229"/>
      <c r="AC791" s="229"/>
      <c r="AD791" s="229"/>
    </row>
    <row r="792" spans="1:30" ht="15.75" customHeight="1" x14ac:dyDescent="0.2">
      <c r="A792" s="229"/>
      <c r="B792" s="229"/>
      <c r="C792" s="229"/>
      <c r="D792" s="229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  <c r="AA792" s="229"/>
      <c r="AB792" s="229"/>
      <c r="AC792" s="229"/>
      <c r="AD792" s="229"/>
    </row>
    <row r="793" spans="1:30" ht="15.75" customHeight="1" x14ac:dyDescent="0.2">
      <c r="A793" s="229"/>
      <c r="B793" s="229"/>
      <c r="C793" s="229"/>
      <c r="D793" s="229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  <c r="AA793" s="229"/>
      <c r="AB793" s="229"/>
      <c r="AC793" s="229"/>
      <c r="AD793" s="229"/>
    </row>
    <row r="794" spans="1:30" ht="15.75" customHeight="1" x14ac:dyDescent="0.2">
      <c r="A794" s="229"/>
      <c r="B794" s="229"/>
      <c r="C794" s="229"/>
      <c r="D794" s="229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  <c r="AA794" s="229"/>
      <c r="AB794" s="229"/>
      <c r="AC794" s="229"/>
      <c r="AD794" s="229"/>
    </row>
    <row r="795" spans="1:30" ht="15.75" customHeight="1" x14ac:dyDescent="0.2">
      <c r="A795" s="229"/>
      <c r="B795" s="229"/>
      <c r="C795" s="229"/>
      <c r="D795" s="229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  <c r="AA795" s="229"/>
      <c r="AB795" s="229"/>
      <c r="AC795" s="229"/>
      <c r="AD795" s="229"/>
    </row>
    <row r="796" spans="1:30" ht="15.75" customHeight="1" x14ac:dyDescent="0.2">
      <c r="A796" s="229"/>
      <c r="B796" s="229"/>
      <c r="C796" s="229"/>
      <c r="D796" s="229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  <c r="AA796" s="229"/>
      <c r="AB796" s="229"/>
      <c r="AC796" s="229"/>
      <c r="AD796" s="229"/>
    </row>
    <row r="797" spans="1:30" ht="15.75" customHeight="1" x14ac:dyDescent="0.2">
      <c r="A797" s="229"/>
      <c r="B797" s="229"/>
      <c r="C797" s="229"/>
      <c r="D797" s="229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  <c r="AA797" s="229"/>
      <c r="AB797" s="229"/>
      <c r="AC797" s="229"/>
      <c r="AD797" s="229"/>
    </row>
    <row r="798" spans="1:30" ht="15.75" customHeight="1" x14ac:dyDescent="0.2">
      <c r="A798" s="229"/>
      <c r="B798" s="229"/>
      <c r="C798" s="229"/>
      <c r="D798" s="229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  <c r="AA798" s="229"/>
      <c r="AB798" s="229"/>
      <c r="AC798" s="229"/>
      <c r="AD798" s="229"/>
    </row>
    <row r="799" spans="1:30" ht="15.75" customHeight="1" x14ac:dyDescent="0.2">
      <c r="A799" s="229"/>
      <c r="B799" s="229"/>
      <c r="C799" s="229"/>
      <c r="D799" s="229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  <c r="AA799" s="229"/>
      <c r="AB799" s="229"/>
      <c r="AC799" s="229"/>
      <c r="AD799" s="229"/>
    </row>
    <row r="800" spans="1:30" ht="15.75" customHeight="1" x14ac:dyDescent="0.2">
      <c r="A800" s="229"/>
      <c r="B800" s="229"/>
      <c r="C800" s="229"/>
      <c r="D800" s="229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  <c r="AA800" s="229"/>
      <c r="AB800" s="229"/>
      <c r="AC800" s="229"/>
      <c r="AD800" s="229"/>
    </row>
    <row r="801" spans="1:30" ht="15.75" customHeight="1" x14ac:dyDescent="0.2">
      <c r="A801" s="229"/>
      <c r="B801" s="229"/>
      <c r="C801" s="229"/>
      <c r="D801" s="229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  <c r="AA801" s="229"/>
      <c r="AB801" s="229"/>
      <c r="AC801" s="229"/>
      <c r="AD801" s="229"/>
    </row>
    <row r="802" spans="1:30" ht="15.75" customHeight="1" x14ac:dyDescent="0.2">
      <c r="A802" s="229"/>
      <c r="B802" s="229"/>
      <c r="C802" s="229"/>
      <c r="D802" s="229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  <c r="AA802" s="229"/>
      <c r="AB802" s="229"/>
      <c r="AC802" s="229"/>
      <c r="AD802" s="229"/>
    </row>
    <row r="803" spans="1:30" ht="15.75" customHeight="1" x14ac:dyDescent="0.2">
      <c r="A803" s="229"/>
      <c r="B803" s="229"/>
      <c r="C803" s="229"/>
      <c r="D803" s="229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  <c r="AA803" s="229"/>
      <c r="AB803" s="229"/>
      <c r="AC803" s="229"/>
      <c r="AD803" s="229"/>
    </row>
    <row r="804" spans="1:30" ht="15.75" customHeight="1" x14ac:dyDescent="0.2">
      <c r="A804" s="229"/>
      <c r="B804" s="229"/>
      <c r="C804" s="229"/>
      <c r="D804" s="229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  <c r="AA804" s="229"/>
      <c r="AB804" s="229"/>
      <c r="AC804" s="229"/>
      <c r="AD804" s="229"/>
    </row>
    <row r="805" spans="1:30" ht="15.75" customHeight="1" x14ac:dyDescent="0.2">
      <c r="A805" s="229"/>
      <c r="B805" s="229"/>
      <c r="C805" s="229"/>
      <c r="D805" s="229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  <c r="AA805" s="229"/>
      <c r="AB805" s="229"/>
      <c r="AC805" s="229"/>
      <c r="AD805" s="229"/>
    </row>
    <row r="806" spans="1:30" ht="15.75" customHeight="1" x14ac:dyDescent="0.2">
      <c r="A806" s="229"/>
      <c r="B806" s="229"/>
      <c r="C806" s="229"/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  <c r="AA806" s="229"/>
      <c r="AB806" s="229"/>
      <c r="AC806" s="229"/>
      <c r="AD806" s="229"/>
    </row>
    <row r="807" spans="1:30" ht="15.75" customHeight="1" x14ac:dyDescent="0.2">
      <c r="A807" s="229"/>
      <c r="B807" s="229"/>
      <c r="C807" s="229"/>
      <c r="D807" s="229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  <c r="AA807" s="229"/>
      <c r="AB807" s="229"/>
      <c r="AC807" s="229"/>
      <c r="AD807" s="229"/>
    </row>
    <row r="808" spans="1:30" ht="15.75" customHeight="1" x14ac:dyDescent="0.2">
      <c r="A808" s="229"/>
      <c r="B808" s="229"/>
      <c r="C808" s="229"/>
      <c r="D808" s="229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  <c r="AA808" s="229"/>
      <c r="AB808" s="229"/>
      <c r="AC808" s="229"/>
      <c r="AD808" s="229"/>
    </row>
    <row r="809" spans="1:30" ht="15.75" customHeight="1" x14ac:dyDescent="0.2">
      <c r="A809" s="229"/>
      <c r="B809" s="229"/>
      <c r="C809" s="229"/>
      <c r="D809" s="229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  <c r="AA809" s="229"/>
      <c r="AB809" s="229"/>
      <c r="AC809" s="229"/>
      <c r="AD809" s="229"/>
    </row>
    <row r="810" spans="1:30" ht="15.75" customHeight="1" x14ac:dyDescent="0.2">
      <c r="A810" s="229"/>
      <c r="B810" s="229"/>
      <c r="C810" s="229"/>
      <c r="D810" s="229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  <c r="AA810" s="229"/>
      <c r="AB810" s="229"/>
      <c r="AC810" s="229"/>
      <c r="AD810" s="229"/>
    </row>
    <row r="811" spans="1:30" ht="15.75" customHeight="1" x14ac:dyDescent="0.2">
      <c r="A811" s="229"/>
      <c r="B811" s="229"/>
      <c r="C811" s="229"/>
      <c r="D811" s="229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  <c r="AA811" s="229"/>
      <c r="AB811" s="229"/>
      <c r="AC811" s="229"/>
      <c r="AD811" s="229"/>
    </row>
    <row r="812" spans="1:30" ht="15.75" customHeight="1" x14ac:dyDescent="0.2">
      <c r="A812" s="229"/>
      <c r="B812" s="229"/>
      <c r="C812" s="229"/>
      <c r="D812" s="229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  <c r="AA812" s="229"/>
      <c r="AB812" s="229"/>
      <c r="AC812" s="229"/>
      <c r="AD812" s="229"/>
    </row>
    <row r="813" spans="1:30" ht="15.75" customHeight="1" x14ac:dyDescent="0.2">
      <c r="A813" s="229"/>
      <c r="B813" s="229"/>
      <c r="C813" s="229"/>
      <c r="D813" s="229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  <c r="AA813" s="229"/>
      <c r="AB813" s="229"/>
      <c r="AC813" s="229"/>
      <c r="AD813" s="229"/>
    </row>
    <row r="814" spans="1:30" ht="15.75" customHeight="1" x14ac:dyDescent="0.2">
      <c r="A814" s="229"/>
      <c r="B814" s="229"/>
      <c r="C814" s="229"/>
      <c r="D814" s="229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  <c r="AA814" s="229"/>
      <c r="AB814" s="229"/>
      <c r="AC814" s="229"/>
      <c r="AD814" s="229"/>
    </row>
    <row r="815" spans="1:30" ht="15.75" customHeight="1" x14ac:dyDescent="0.2">
      <c r="A815" s="229"/>
      <c r="B815" s="229"/>
      <c r="C815" s="229"/>
      <c r="D815" s="229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  <c r="AA815" s="229"/>
      <c r="AB815" s="229"/>
      <c r="AC815" s="229"/>
      <c r="AD815" s="229"/>
    </row>
    <row r="816" spans="1:30" ht="15.75" customHeight="1" x14ac:dyDescent="0.2">
      <c r="A816" s="229"/>
      <c r="B816" s="229"/>
      <c r="C816" s="229"/>
      <c r="D816" s="229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  <c r="AA816" s="229"/>
      <c r="AB816" s="229"/>
      <c r="AC816" s="229"/>
      <c r="AD816" s="229"/>
    </row>
    <row r="817" spans="1:30" ht="15.75" customHeight="1" x14ac:dyDescent="0.2">
      <c r="A817" s="229"/>
      <c r="B817" s="229"/>
      <c r="C817" s="229"/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  <c r="AA817" s="229"/>
      <c r="AB817" s="229"/>
      <c r="AC817" s="229"/>
      <c r="AD817" s="229"/>
    </row>
    <row r="818" spans="1:30" ht="15.75" customHeight="1" x14ac:dyDescent="0.2">
      <c r="A818" s="229"/>
      <c r="B818" s="229"/>
      <c r="C818" s="229"/>
      <c r="D818" s="229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  <c r="AA818" s="229"/>
      <c r="AB818" s="229"/>
      <c r="AC818" s="229"/>
      <c r="AD818" s="229"/>
    </row>
    <row r="819" spans="1:30" ht="15.75" customHeight="1" x14ac:dyDescent="0.2">
      <c r="A819" s="229"/>
      <c r="B819" s="229"/>
      <c r="C819" s="229"/>
      <c r="D819" s="229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  <c r="AA819" s="229"/>
      <c r="AB819" s="229"/>
      <c r="AC819" s="229"/>
      <c r="AD819" s="229"/>
    </row>
    <row r="820" spans="1:30" ht="15.75" customHeight="1" x14ac:dyDescent="0.2">
      <c r="A820" s="229"/>
      <c r="B820" s="229"/>
      <c r="C820" s="229"/>
      <c r="D820" s="229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  <c r="AA820" s="229"/>
      <c r="AB820" s="229"/>
      <c r="AC820" s="229"/>
      <c r="AD820" s="229"/>
    </row>
    <row r="821" spans="1:30" ht="15.75" customHeight="1" x14ac:dyDescent="0.2">
      <c r="A821" s="229"/>
      <c r="B821" s="229"/>
      <c r="C821" s="229"/>
      <c r="D821" s="229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  <c r="AA821" s="229"/>
      <c r="AB821" s="229"/>
      <c r="AC821" s="229"/>
      <c r="AD821" s="229"/>
    </row>
    <row r="822" spans="1:30" ht="15.75" customHeight="1" x14ac:dyDescent="0.2">
      <c r="A822" s="229"/>
      <c r="B822" s="229"/>
      <c r="C822" s="229"/>
      <c r="D822" s="229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  <c r="AA822" s="229"/>
      <c r="AB822" s="229"/>
      <c r="AC822" s="229"/>
      <c r="AD822" s="229"/>
    </row>
    <row r="823" spans="1:30" ht="15.75" customHeight="1" x14ac:dyDescent="0.2">
      <c r="A823" s="229"/>
      <c r="B823" s="229"/>
      <c r="C823" s="229"/>
      <c r="D823" s="229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  <c r="AA823" s="229"/>
      <c r="AB823" s="229"/>
      <c r="AC823" s="229"/>
      <c r="AD823" s="229"/>
    </row>
    <row r="824" spans="1:30" ht="15.75" customHeight="1" x14ac:dyDescent="0.2">
      <c r="A824" s="229"/>
      <c r="B824" s="229"/>
      <c r="C824" s="229"/>
      <c r="D824" s="229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  <c r="AA824" s="229"/>
      <c r="AB824" s="229"/>
      <c r="AC824" s="229"/>
      <c r="AD824" s="229"/>
    </row>
    <row r="825" spans="1:30" ht="15.75" customHeight="1" x14ac:dyDescent="0.2">
      <c r="A825" s="229"/>
      <c r="B825" s="229"/>
      <c r="C825" s="229"/>
      <c r="D825" s="229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  <c r="AA825" s="229"/>
      <c r="AB825" s="229"/>
      <c r="AC825" s="229"/>
      <c r="AD825" s="229"/>
    </row>
    <row r="826" spans="1:30" ht="15.75" customHeight="1" x14ac:dyDescent="0.2">
      <c r="A826" s="229"/>
      <c r="B826" s="229"/>
      <c r="C826" s="229"/>
      <c r="D826" s="229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  <c r="AA826" s="229"/>
      <c r="AB826" s="229"/>
      <c r="AC826" s="229"/>
      <c r="AD826" s="229"/>
    </row>
    <row r="827" spans="1:30" ht="15.75" customHeight="1" x14ac:dyDescent="0.2">
      <c r="A827" s="229"/>
      <c r="B827" s="229"/>
      <c r="C827" s="229"/>
      <c r="D827" s="229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  <c r="AA827" s="229"/>
      <c r="AB827" s="229"/>
      <c r="AC827" s="229"/>
      <c r="AD827" s="229"/>
    </row>
    <row r="828" spans="1:30" ht="15.75" customHeight="1" x14ac:dyDescent="0.2">
      <c r="A828" s="229"/>
      <c r="B828" s="229"/>
      <c r="C828" s="229"/>
      <c r="D828" s="229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  <c r="AA828" s="229"/>
      <c r="AB828" s="229"/>
      <c r="AC828" s="229"/>
      <c r="AD828" s="229"/>
    </row>
    <row r="829" spans="1:30" ht="15.75" customHeight="1" x14ac:dyDescent="0.2">
      <c r="A829" s="229"/>
      <c r="B829" s="229"/>
      <c r="C829" s="229"/>
      <c r="D829" s="229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  <c r="AA829" s="229"/>
      <c r="AB829" s="229"/>
      <c r="AC829" s="229"/>
      <c r="AD829" s="229"/>
    </row>
    <row r="830" spans="1:30" ht="15.75" customHeight="1" x14ac:dyDescent="0.2">
      <c r="A830" s="229"/>
      <c r="B830" s="229"/>
      <c r="C830" s="229"/>
      <c r="D830" s="229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  <c r="AA830" s="229"/>
      <c r="AB830" s="229"/>
      <c r="AC830" s="229"/>
      <c r="AD830" s="229"/>
    </row>
    <row r="831" spans="1:30" ht="15.75" customHeight="1" x14ac:dyDescent="0.2">
      <c r="A831" s="229"/>
      <c r="B831" s="229"/>
      <c r="C831" s="229"/>
      <c r="D831" s="229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  <c r="AA831" s="229"/>
      <c r="AB831" s="229"/>
      <c r="AC831" s="229"/>
      <c r="AD831" s="229"/>
    </row>
    <row r="832" spans="1:30" ht="15.75" customHeight="1" x14ac:dyDescent="0.2">
      <c r="A832" s="229"/>
      <c r="B832" s="229"/>
      <c r="C832" s="229"/>
      <c r="D832" s="229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  <c r="AA832" s="229"/>
      <c r="AB832" s="229"/>
      <c r="AC832" s="229"/>
      <c r="AD832" s="229"/>
    </row>
    <row r="833" spans="1:30" ht="15.75" customHeight="1" x14ac:dyDescent="0.2">
      <c r="A833" s="229"/>
      <c r="B833" s="229"/>
      <c r="C833" s="229"/>
      <c r="D833" s="229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  <c r="AA833" s="229"/>
      <c r="AB833" s="229"/>
      <c r="AC833" s="229"/>
      <c r="AD833" s="229"/>
    </row>
    <row r="834" spans="1:30" ht="15.75" customHeight="1" x14ac:dyDescent="0.2">
      <c r="A834" s="229"/>
      <c r="B834" s="229"/>
      <c r="C834" s="229"/>
      <c r="D834" s="229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  <c r="AA834" s="229"/>
      <c r="AB834" s="229"/>
      <c r="AC834" s="229"/>
      <c r="AD834" s="229"/>
    </row>
    <row r="835" spans="1:30" ht="15.75" customHeight="1" x14ac:dyDescent="0.2">
      <c r="A835" s="229"/>
      <c r="B835" s="229"/>
      <c r="C835" s="229"/>
      <c r="D835" s="229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  <c r="AA835" s="229"/>
      <c r="AB835" s="229"/>
      <c r="AC835" s="229"/>
      <c r="AD835" s="229"/>
    </row>
    <row r="836" spans="1:30" ht="15.75" customHeight="1" x14ac:dyDescent="0.2">
      <c r="A836" s="229"/>
      <c r="B836" s="229"/>
      <c r="C836" s="229"/>
      <c r="D836" s="229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  <c r="AA836" s="229"/>
      <c r="AB836" s="229"/>
      <c r="AC836" s="229"/>
      <c r="AD836" s="229"/>
    </row>
    <row r="837" spans="1:30" ht="15.75" customHeight="1" x14ac:dyDescent="0.2">
      <c r="A837" s="229"/>
      <c r="B837" s="229"/>
      <c r="C837" s="229"/>
      <c r="D837" s="229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  <c r="AA837" s="229"/>
      <c r="AB837" s="229"/>
      <c r="AC837" s="229"/>
      <c r="AD837" s="229"/>
    </row>
    <row r="838" spans="1:30" ht="15.75" customHeight="1" x14ac:dyDescent="0.2">
      <c r="A838" s="229"/>
      <c r="B838" s="229"/>
      <c r="C838" s="229"/>
      <c r="D838" s="229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  <c r="AA838" s="229"/>
      <c r="AB838" s="229"/>
      <c r="AC838" s="229"/>
      <c r="AD838" s="229"/>
    </row>
    <row r="839" spans="1:30" ht="15.75" customHeight="1" x14ac:dyDescent="0.2">
      <c r="A839" s="229"/>
      <c r="B839" s="229"/>
      <c r="C839" s="229"/>
      <c r="D839" s="229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  <c r="AA839" s="229"/>
      <c r="AB839" s="229"/>
      <c r="AC839" s="229"/>
      <c r="AD839" s="229"/>
    </row>
    <row r="840" spans="1:30" ht="15.75" customHeight="1" x14ac:dyDescent="0.2">
      <c r="A840" s="229"/>
      <c r="B840" s="229"/>
      <c r="C840" s="229"/>
      <c r="D840" s="229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  <c r="AA840" s="229"/>
      <c r="AB840" s="229"/>
      <c r="AC840" s="229"/>
      <c r="AD840" s="229"/>
    </row>
    <row r="841" spans="1:30" ht="15.75" customHeight="1" x14ac:dyDescent="0.2">
      <c r="A841" s="229"/>
      <c r="B841" s="229"/>
      <c r="C841" s="229"/>
      <c r="D841" s="229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  <c r="AA841" s="229"/>
      <c r="AB841" s="229"/>
      <c r="AC841" s="229"/>
      <c r="AD841" s="229"/>
    </row>
    <row r="842" spans="1:30" ht="15.75" customHeight="1" x14ac:dyDescent="0.2">
      <c r="A842" s="229"/>
      <c r="B842" s="229"/>
      <c r="C842" s="229"/>
      <c r="D842" s="229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  <c r="AA842" s="229"/>
      <c r="AB842" s="229"/>
      <c r="AC842" s="229"/>
      <c r="AD842" s="229"/>
    </row>
    <row r="843" spans="1:30" ht="15.75" customHeight="1" x14ac:dyDescent="0.2">
      <c r="A843" s="229"/>
      <c r="B843" s="229"/>
      <c r="C843" s="229"/>
      <c r="D843" s="229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  <c r="AA843" s="229"/>
      <c r="AB843" s="229"/>
      <c r="AC843" s="229"/>
      <c r="AD843" s="229"/>
    </row>
    <row r="844" spans="1:30" ht="15.75" customHeight="1" x14ac:dyDescent="0.2">
      <c r="A844" s="229"/>
      <c r="B844" s="229"/>
      <c r="C844" s="229"/>
      <c r="D844" s="229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  <c r="AA844" s="229"/>
      <c r="AB844" s="229"/>
      <c r="AC844" s="229"/>
      <c r="AD844" s="229"/>
    </row>
    <row r="845" spans="1:30" ht="15.75" customHeight="1" x14ac:dyDescent="0.2">
      <c r="A845" s="229"/>
      <c r="B845" s="229"/>
      <c r="C845" s="229"/>
      <c r="D845" s="229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  <c r="AA845" s="229"/>
      <c r="AB845" s="229"/>
      <c r="AC845" s="229"/>
      <c r="AD845" s="229"/>
    </row>
    <row r="846" spans="1:30" ht="15.75" customHeight="1" x14ac:dyDescent="0.2">
      <c r="A846" s="229"/>
      <c r="B846" s="229"/>
      <c r="C846" s="229"/>
      <c r="D846" s="229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  <c r="AA846" s="229"/>
      <c r="AB846" s="229"/>
      <c r="AC846" s="229"/>
      <c r="AD846" s="229"/>
    </row>
    <row r="847" spans="1:30" ht="15.75" customHeight="1" x14ac:dyDescent="0.2">
      <c r="A847" s="229"/>
      <c r="B847" s="229"/>
      <c r="C847" s="229"/>
      <c r="D847" s="229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  <c r="AA847" s="229"/>
      <c r="AB847" s="229"/>
      <c r="AC847" s="229"/>
      <c r="AD847" s="229"/>
    </row>
    <row r="848" spans="1:30" ht="15.75" customHeight="1" x14ac:dyDescent="0.2">
      <c r="A848" s="229"/>
      <c r="B848" s="229"/>
      <c r="C848" s="229"/>
      <c r="D848" s="229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  <c r="AA848" s="229"/>
      <c r="AB848" s="229"/>
      <c r="AC848" s="229"/>
      <c r="AD848" s="229"/>
    </row>
    <row r="849" spans="1:30" ht="15.75" customHeight="1" x14ac:dyDescent="0.2">
      <c r="A849" s="229"/>
      <c r="B849" s="229"/>
      <c r="C849" s="229"/>
      <c r="D849" s="229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  <c r="AA849" s="229"/>
      <c r="AB849" s="229"/>
      <c r="AC849" s="229"/>
      <c r="AD849" s="229"/>
    </row>
    <row r="850" spans="1:30" ht="15.75" customHeight="1" x14ac:dyDescent="0.2">
      <c r="A850" s="229"/>
      <c r="B850" s="229"/>
      <c r="C850" s="229"/>
      <c r="D850" s="229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  <c r="AA850" s="229"/>
      <c r="AB850" s="229"/>
      <c r="AC850" s="229"/>
      <c r="AD850" s="229"/>
    </row>
    <row r="851" spans="1:30" ht="15.75" customHeight="1" x14ac:dyDescent="0.2">
      <c r="A851" s="229"/>
      <c r="B851" s="229"/>
      <c r="C851" s="229"/>
      <c r="D851" s="229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  <c r="AA851" s="229"/>
      <c r="AB851" s="229"/>
      <c r="AC851" s="229"/>
      <c r="AD851" s="229"/>
    </row>
    <row r="852" spans="1:30" ht="15.75" customHeight="1" x14ac:dyDescent="0.2">
      <c r="A852" s="229"/>
      <c r="B852" s="229"/>
      <c r="C852" s="229"/>
      <c r="D852" s="229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  <c r="AA852" s="229"/>
      <c r="AB852" s="229"/>
      <c r="AC852" s="229"/>
      <c r="AD852" s="229"/>
    </row>
    <row r="853" spans="1:30" ht="15.75" customHeight="1" x14ac:dyDescent="0.2">
      <c r="A853" s="229"/>
      <c r="B853" s="229"/>
      <c r="C853" s="229"/>
      <c r="D853" s="229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  <c r="AA853" s="229"/>
      <c r="AB853" s="229"/>
      <c r="AC853" s="229"/>
      <c r="AD853" s="229"/>
    </row>
    <row r="854" spans="1:30" ht="15.75" customHeight="1" x14ac:dyDescent="0.2">
      <c r="A854" s="229"/>
      <c r="B854" s="229"/>
      <c r="C854" s="229"/>
      <c r="D854" s="229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  <c r="AA854" s="229"/>
      <c r="AB854" s="229"/>
      <c r="AC854" s="229"/>
      <c r="AD854" s="229"/>
    </row>
    <row r="855" spans="1:30" ht="15.75" customHeight="1" x14ac:dyDescent="0.2">
      <c r="A855" s="229"/>
      <c r="B855" s="229"/>
      <c r="C855" s="229"/>
      <c r="D855" s="229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  <c r="AA855" s="229"/>
      <c r="AB855" s="229"/>
      <c r="AC855" s="229"/>
      <c r="AD855" s="229"/>
    </row>
    <row r="856" spans="1:30" ht="15.75" customHeight="1" x14ac:dyDescent="0.2">
      <c r="A856" s="229"/>
      <c r="B856" s="229"/>
      <c r="C856" s="229"/>
      <c r="D856" s="229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  <c r="AA856" s="229"/>
      <c r="AB856" s="229"/>
      <c r="AC856" s="229"/>
      <c r="AD856" s="229"/>
    </row>
    <row r="857" spans="1:30" ht="15.75" customHeight="1" x14ac:dyDescent="0.2">
      <c r="A857" s="229"/>
      <c r="B857" s="229"/>
      <c r="C857" s="229"/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  <c r="AA857" s="229"/>
      <c r="AB857" s="229"/>
      <c r="AC857" s="229"/>
      <c r="AD857" s="229"/>
    </row>
    <row r="858" spans="1:30" ht="15.75" customHeight="1" x14ac:dyDescent="0.2">
      <c r="A858" s="229"/>
      <c r="B858" s="229"/>
      <c r="C858" s="229"/>
      <c r="D858" s="229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  <c r="AA858" s="229"/>
      <c r="AB858" s="229"/>
      <c r="AC858" s="229"/>
      <c r="AD858" s="229"/>
    </row>
    <row r="859" spans="1:30" ht="15.75" customHeight="1" x14ac:dyDescent="0.2">
      <c r="A859" s="229"/>
      <c r="B859" s="229"/>
      <c r="C859" s="229"/>
      <c r="D859" s="229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  <c r="AA859" s="229"/>
      <c r="AB859" s="229"/>
      <c r="AC859" s="229"/>
      <c r="AD859" s="229"/>
    </row>
    <row r="860" spans="1:30" ht="15.75" customHeight="1" x14ac:dyDescent="0.2">
      <c r="A860" s="229"/>
      <c r="B860" s="229"/>
      <c r="C860" s="229"/>
      <c r="D860" s="229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  <c r="AA860" s="229"/>
      <c r="AB860" s="229"/>
      <c r="AC860" s="229"/>
      <c r="AD860" s="229"/>
    </row>
    <row r="861" spans="1:30" ht="15.75" customHeight="1" x14ac:dyDescent="0.2">
      <c r="A861" s="229"/>
      <c r="B861" s="229"/>
      <c r="C861" s="229"/>
      <c r="D861" s="229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  <c r="AA861" s="229"/>
      <c r="AB861" s="229"/>
      <c r="AC861" s="229"/>
      <c r="AD861" s="229"/>
    </row>
    <row r="862" spans="1:30" ht="15.75" customHeight="1" x14ac:dyDescent="0.2">
      <c r="A862" s="229"/>
      <c r="B862" s="229"/>
      <c r="C862" s="229"/>
      <c r="D862" s="229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  <c r="AA862" s="229"/>
      <c r="AB862" s="229"/>
      <c r="AC862" s="229"/>
      <c r="AD862" s="229"/>
    </row>
    <row r="863" spans="1:30" ht="15.75" customHeight="1" x14ac:dyDescent="0.2">
      <c r="A863" s="229"/>
      <c r="B863" s="229"/>
      <c r="C863" s="229"/>
      <c r="D863" s="229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  <c r="AA863" s="229"/>
      <c r="AB863" s="229"/>
      <c r="AC863" s="229"/>
      <c r="AD863" s="229"/>
    </row>
    <row r="864" spans="1:30" ht="15.75" customHeight="1" x14ac:dyDescent="0.2">
      <c r="A864" s="229"/>
      <c r="B864" s="229"/>
      <c r="C864" s="229"/>
      <c r="D864" s="229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  <c r="AA864" s="229"/>
      <c r="AB864" s="229"/>
      <c r="AC864" s="229"/>
      <c r="AD864" s="229"/>
    </row>
    <row r="865" spans="1:30" ht="15.75" customHeight="1" x14ac:dyDescent="0.2">
      <c r="A865" s="229"/>
      <c r="B865" s="229"/>
      <c r="C865" s="229"/>
      <c r="D865" s="229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  <c r="AA865" s="229"/>
      <c r="AB865" s="229"/>
      <c r="AC865" s="229"/>
      <c r="AD865" s="229"/>
    </row>
    <row r="866" spans="1:30" ht="15.75" customHeight="1" x14ac:dyDescent="0.2">
      <c r="A866" s="229"/>
      <c r="B866" s="229"/>
      <c r="C866" s="229"/>
      <c r="D866" s="229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  <c r="AA866" s="229"/>
      <c r="AB866" s="229"/>
      <c r="AC866" s="229"/>
      <c r="AD866" s="229"/>
    </row>
    <row r="867" spans="1:30" ht="15.75" customHeight="1" x14ac:dyDescent="0.2">
      <c r="A867" s="229"/>
      <c r="B867" s="229"/>
      <c r="C867" s="229"/>
      <c r="D867" s="229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  <c r="AA867" s="229"/>
      <c r="AB867" s="229"/>
      <c r="AC867" s="229"/>
      <c r="AD867" s="229"/>
    </row>
    <row r="868" spans="1:30" ht="15.75" customHeight="1" x14ac:dyDescent="0.2">
      <c r="A868" s="229"/>
      <c r="B868" s="229"/>
      <c r="C868" s="229"/>
      <c r="D868" s="229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  <c r="AA868" s="229"/>
      <c r="AB868" s="229"/>
      <c r="AC868" s="229"/>
      <c r="AD868" s="229"/>
    </row>
    <row r="869" spans="1:30" ht="15.75" customHeight="1" x14ac:dyDescent="0.2">
      <c r="A869" s="229"/>
      <c r="B869" s="229"/>
      <c r="C869" s="229"/>
      <c r="D869" s="229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  <c r="AA869" s="229"/>
      <c r="AB869" s="229"/>
      <c r="AC869" s="229"/>
      <c r="AD869" s="229"/>
    </row>
    <row r="870" spans="1:30" ht="15.75" customHeight="1" x14ac:dyDescent="0.2">
      <c r="A870" s="229"/>
      <c r="B870" s="229"/>
      <c r="C870" s="229"/>
      <c r="D870" s="229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  <c r="AA870" s="229"/>
      <c r="AB870" s="229"/>
      <c r="AC870" s="229"/>
      <c r="AD870" s="229"/>
    </row>
    <row r="871" spans="1:30" ht="15.75" customHeight="1" x14ac:dyDescent="0.2">
      <c r="A871" s="229"/>
      <c r="B871" s="229"/>
      <c r="C871" s="229"/>
      <c r="D871" s="229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  <c r="AA871" s="229"/>
      <c r="AB871" s="229"/>
      <c r="AC871" s="229"/>
      <c r="AD871" s="229"/>
    </row>
    <row r="872" spans="1:30" ht="15.75" customHeight="1" x14ac:dyDescent="0.2">
      <c r="A872" s="229"/>
      <c r="B872" s="229"/>
      <c r="C872" s="229"/>
      <c r="D872" s="229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  <c r="AA872" s="229"/>
      <c r="AB872" s="229"/>
      <c r="AC872" s="229"/>
      <c r="AD872" s="229"/>
    </row>
    <row r="873" spans="1:30" ht="15.75" customHeight="1" x14ac:dyDescent="0.2">
      <c r="A873" s="229"/>
      <c r="B873" s="229"/>
      <c r="C873" s="229"/>
      <c r="D873" s="229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  <c r="AA873" s="229"/>
      <c r="AB873" s="229"/>
      <c r="AC873" s="229"/>
      <c r="AD873" s="229"/>
    </row>
    <row r="874" spans="1:30" ht="15.75" customHeight="1" x14ac:dyDescent="0.2">
      <c r="A874" s="229"/>
      <c r="B874" s="229"/>
      <c r="C874" s="229"/>
      <c r="D874" s="229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  <c r="AA874" s="229"/>
      <c r="AB874" s="229"/>
      <c r="AC874" s="229"/>
      <c r="AD874" s="229"/>
    </row>
    <row r="875" spans="1:30" ht="15.75" customHeight="1" x14ac:dyDescent="0.2">
      <c r="A875" s="229"/>
      <c r="B875" s="229"/>
      <c r="C875" s="229"/>
      <c r="D875" s="229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  <c r="AA875" s="229"/>
      <c r="AB875" s="229"/>
      <c r="AC875" s="229"/>
      <c r="AD875" s="229"/>
    </row>
    <row r="876" spans="1:30" ht="15.75" customHeight="1" x14ac:dyDescent="0.2">
      <c r="A876" s="229"/>
      <c r="B876" s="229"/>
      <c r="C876" s="229"/>
      <c r="D876" s="229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  <c r="AA876" s="229"/>
      <c r="AB876" s="229"/>
      <c r="AC876" s="229"/>
      <c r="AD876" s="229"/>
    </row>
    <row r="877" spans="1:30" ht="15.75" customHeight="1" x14ac:dyDescent="0.2">
      <c r="A877" s="229"/>
      <c r="B877" s="229"/>
      <c r="C877" s="229"/>
      <c r="D877" s="229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  <c r="AA877" s="229"/>
      <c r="AB877" s="229"/>
      <c r="AC877" s="229"/>
      <c r="AD877" s="229"/>
    </row>
    <row r="878" spans="1:30" ht="15.75" customHeight="1" x14ac:dyDescent="0.2">
      <c r="A878" s="229"/>
      <c r="B878" s="229"/>
      <c r="C878" s="229"/>
      <c r="D878" s="229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  <c r="AA878" s="229"/>
      <c r="AB878" s="229"/>
      <c r="AC878" s="229"/>
      <c r="AD878" s="229"/>
    </row>
    <row r="879" spans="1:30" ht="15.75" customHeight="1" x14ac:dyDescent="0.2">
      <c r="A879" s="229"/>
      <c r="B879" s="229"/>
      <c r="C879" s="229"/>
      <c r="D879" s="229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  <c r="AA879" s="229"/>
      <c r="AB879" s="229"/>
      <c r="AC879" s="229"/>
      <c r="AD879" s="229"/>
    </row>
    <row r="880" spans="1:30" ht="15.75" customHeight="1" x14ac:dyDescent="0.2">
      <c r="A880" s="229"/>
      <c r="B880" s="229"/>
      <c r="C880" s="229"/>
      <c r="D880" s="229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  <c r="AA880" s="229"/>
      <c r="AB880" s="229"/>
      <c r="AC880" s="229"/>
      <c r="AD880" s="229"/>
    </row>
    <row r="881" spans="1:30" ht="15.75" customHeight="1" x14ac:dyDescent="0.2">
      <c r="A881" s="229"/>
      <c r="B881" s="229"/>
      <c r="C881" s="229"/>
      <c r="D881" s="229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  <c r="AA881" s="229"/>
      <c r="AB881" s="229"/>
      <c r="AC881" s="229"/>
      <c r="AD881" s="229"/>
    </row>
    <row r="882" spans="1:30" ht="15.75" customHeight="1" x14ac:dyDescent="0.2">
      <c r="A882" s="229"/>
      <c r="B882" s="229"/>
      <c r="C882" s="229"/>
      <c r="D882" s="229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  <c r="AA882" s="229"/>
      <c r="AB882" s="229"/>
      <c r="AC882" s="229"/>
      <c r="AD882" s="229"/>
    </row>
    <row r="883" spans="1:30" ht="15.75" customHeight="1" x14ac:dyDescent="0.2">
      <c r="A883" s="229"/>
      <c r="B883" s="229"/>
      <c r="C883" s="229"/>
      <c r="D883" s="229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  <c r="AA883" s="229"/>
      <c r="AB883" s="229"/>
      <c r="AC883" s="229"/>
      <c r="AD883" s="229"/>
    </row>
    <row r="884" spans="1:30" ht="15.75" customHeight="1" x14ac:dyDescent="0.2">
      <c r="A884" s="229"/>
      <c r="B884" s="229"/>
      <c r="C884" s="229"/>
      <c r="D884" s="229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  <c r="AA884" s="229"/>
      <c r="AB884" s="229"/>
      <c r="AC884" s="229"/>
      <c r="AD884" s="229"/>
    </row>
    <row r="885" spans="1:30" ht="15.75" customHeight="1" x14ac:dyDescent="0.2">
      <c r="A885" s="229"/>
      <c r="B885" s="229"/>
      <c r="C885" s="229"/>
      <c r="D885" s="229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  <c r="AA885" s="229"/>
      <c r="AB885" s="229"/>
      <c r="AC885" s="229"/>
      <c r="AD885" s="229"/>
    </row>
    <row r="886" spans="1:30" ht="15.75" customHeight="1" x14ac:dyDescent="0.2">
      <c r="A886" s="229"/>
      <c r="B886" s="229"/>
      <c r="C886" s="229"/>
      <c r="D886" s="229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  <c r="AA886" s="229"/>
      <c r="AB886" s="229"/>
      <c r="AC886" s="229"/>
      <c r="AD886" s="229"/>
    </row>
    <row r="887" spans="1:30" ht="15.75" customHeight="1" x14ac:dyDescent="0.2">
      <c r="A887" s="229"/>
      <c r="B887" s="229"/>
      <c r="C887" s="229"/>
      <c r="D887" s="229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  <c r="AA887" s="229"/>
      <c r="AB887" s="229"/>
      <c r="AC887" s="229"/>
      <c r="AD887" s="229"/>
    </row>
    <row r="888" spans="1:30" ht="15.75" customHeight="1" x14ac:dyDescent="0.2">
      <c r="A888" s="229"/>
      <c r="B888" s="229"/>
      <c r="C888" s="229"/>
      <c r="D888" s="229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  <c r="AA888" s="229"/>
      <c r="AB888" s="229"/>
      <c r="AC888" s="229"/>
      <c r="AD888" s="229"/>
    </row>
    <row r="889" spans="1:30" ht="15.75" customHeight="1" x14ac:dyDescent="0.2">
      <c r="A889" s="229"/>
      <c r="B889" s="229"/>
      <c r="C889" s="229"/>
      <c r="D889" s="229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  <c r="AA889" s="229"/>
      <c r="AB889" s="229"/>
      <c r="AC889" s="229"/>
      <c r="AD889" s="229"/>
    </row>
    <row r="890" spans="1:30" ht="15.75" customHeight="1" x14ac:dyDescent="0.2">
      <c r="A890" s="229"/>
      <c r="B890" s="229"/>
      <c r="C890" s="229"/>
      <c r="D890" s="229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  <c r="AA890" s="229"/>
      <c r="AB890" s="229"/>
      <c r="AC890" s="229"/>
      <c r="AD890" s="229"/>
    </row>
    <row r="891" spans="1:30" ht="15.75" customHeight="1" x14ac:dyDescent="0.2">
      <c r="A891" s="229"/>
      <c r="B891" s="229"/>
      <c r="C891" s="229"/>
      <c r="D891" s="229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  <c r="AA891" s="229"/>
      <c r="AB891" s="229"/>
      <c r="AC891" s="229"/>
      <c r="AD891" s="229"/>
    </row>
    <row r="892" spans="1:30" ht="15.75" customHeight="1" x14ac:dyDescent="0.2">
      <c r="A892" s="229"/>
      <c r="B892" s="229"/>
      <c r="C892" s="229"/>
      <c r="D892" s="229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  <c r="AA892" s="229"/>
      <c r="AB892" s="229"/>
      <c r="AC892" s="229"/>
      <c r="AD892" s="229"/>
    </row>
    <row r="893" spans="1:30" ht="15.75" customHeight="1" x14ac:dyDescent="0.2">
      <c r="A893" s="229"/>
      <c r="B893" s="229"/>
      <c r="C893" s="229"/>
      <c r="D893" s="229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  <c r="AA893" s="229"/>
      <c r="AB893" s="229"/>
      <c r="AC893" s="229"/>
      <c r="AD893" s="229"/>
    </row>
    <row r="894" spans="1:30" ht="15.75" customHeight="1" x14ac:dyDescent="0.2">
      <c r="A894" s="229"/>
      <c r="B894" s="229"/>
      <c r="C894" s="229"/>
      <c r="D894" s="229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  <c r="AA894" s="229"/>
      <c r="AB894" s="229"/>
      <c r="AC894" s="229"/>
      <c r="AD894" s="229"/>
    </row>
    <row r="895" spans="1:30" ht="15.75" customHeight="1" x14ac:dyDescent="0.2">
      <c r="A895" s="229"/>
      <c r="B895" s="229"/>
      <c r="C895" s="229"/>
      <c r="D895" s="229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  <c r="AA895" s="229"/>
      <c r="AB895" s="229"/>
      <c r="AC895" s="229"/>
      <c r="AD895" s="229"/>
    </row>
    <row r="896" spans="1:30" ht="15.75" customHeight="1" x14ac:dyDescent="0.2">
      <c r="A896" s="229"/>
      <c r="B896" s="229"/>
      <c r="C896" s="229"/>
      <c r="D896" s="229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  <c r="AA896" s="229"/>
      <c r="AB896" s="229"/>
      <c r="AC896" s="229"/>
      <c r="AD896" s="229"/>
    </row>
    <row r="897" spans="1:30" ht="15.75" customHeight="1" x14ac:dyDescent="0.2">
      <c r="A897" s="229"/>
      <c r="B897" s="229"/>
      <c r="C897" s="229"/>
      <c r="D897" s="229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  <c r="AA897" s="229"/>
      <c r="AB897" s="229"/>
      <c r="AC897" s="229"/>
      <c r="AD897" s="229"/>
    </row>
    <row r="898" spans="1:30" ht="15.75" customHeight="1" x14ac:dyDescent="0.2">
      <c r="A898" s="229"/>
      <c r="B898" s="229"/>
      <c r="C898" s="229"/>
      <c r="D898" s="229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  <c r="AA898" s="229"/>
      <c r="AB898" s="229"/>
      <c r="AC898" s="229"/>
      <c r="AD898" s="229"/>
    </row>
    <row r="899" spans="1:30" ht="15.75" customHeight="1" x14ac:dyDescent="0.2">
      <c r="A899" s="229"/>
      <c r="B899" s="229"/>
      <c r="C899" s="229"/>
      <c r="D899" s="229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  <c r="AA899" s="229"/>
      <c r="AB899" s="229"/>
      <c r="AC899" s="229"/>
      <c r="AD899" s="229"/>
    </row>
    <row r="900" spans="1:30" ht="15.75" customHeight="1" x14ac:dyDescent="0.2">
      <c r="A900" s="229"/>
      <c r="B900" s="229"/>
      <c r="C900" s="229"/>
      <c r="D900" s="229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  <c r="AA900" s="229"/>
      <c r="AB900" s="229"/>
      <c r="AC900" s="229"/>
      <c r="AD900" s="229"/>
    </row>
    <row r="901" spans="1:30" ht="15.75" customHeight="1" x14ac:dyDescent="0.2">
      <c r="A901" s="229"/>
      <c r="B901" s="229"/>
      <c r="C901" s="229"/>
      <c r="D901" s="229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  <c r="AA901" s="229"/>
      <c r="AB901" s="229"/>
      <c r="AC901" s="229"/>
      <c r="AD901" s="229"/>
    </row>
    <row r="902" spans="1:30" ht="15.75" customHeight="1" x14ac:dyDescent="0.2">
      <c r="A902" s="229"/>
      <c r="B902" s="229"/>
      <c r="C902" s="229"/>
      <c r="D902" s="229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  <c r="AA902" s="229"/>
      <c r="AB902" s="229"/>
      <c r="AC902" s="229"/>
      <c r="AD902" s="229"/>
    </row>
    <row r="903" spans="1:30" ht="15.75" customHeight="1" x14ac:dyDescent="0.2">
      <c r="A903" s="229"/>
      <c r="B903" s="229"/>
      <c r="C903" s="229"/>
      <c r="D903" s="229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  <c r="AA903" s="229"/>
      <c r="AB903" s="229"/>
      <c r="AC903" s="229"/>
      <c r="AD903" s="229"/>
    </row>
    <row r="904" spans="1:30" ht="15.75" customHeight="1" x14ac:dyDescent="0.2">
      <c r="A904" s="229"/>
      <c r="B904" s="229"/>
      <c r="C904" s="229"/>
      <c r="D904" s="229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  <c r="AD904" s="229"/>
    </row>
    <row r="905" spans="1:30" ht="15.75" customHeight="1" x14ac:dyDescent="0.2">
      <c r="A905" s="229"/>
      <c r="B905" s="229"/>
      <c r="C905" s="229"/>
      <c r="D905" s="229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  <c r="AA905" s="229"/>
      <c r="AB905" s="229"/>
      <c r="AC905" s="229"/>
      <c r="AD905" s="229"/>
    </row>
    <row r="906" spans="1:30" ht="15.75" customHeight="1" x14ac:dyDescent="0.2">
      <c r="A906" s="229"/>
      <c r="B906" s="229"/>
      <c r="C906" s="229"/>
      <c r="D906" s="229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  <c r="AA906" s="229"/>
      <c r="AB906" s="229"/>
      <c r="AC906" s="229"/>
      <c r="AD906" s="229"/>
    </row>
    <row r="907" spans="1:30" ht="15.75" customHeight="1" x14ac:dyDescent="0.2">
      <c r="A907" s="229"/>
      <c r="B907" s="229"/>
      <c r="C907" s="229"/>
      <c r="D907" s="229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  <c r="AA907" s="229"/>
      <c r="AB907" s="229"/>
      <c r="AC907" s="229"/>
      <c r="AD907" s="229"/>
    </row>
    <row r="908" spans="1:30" ht="15.75" customHeight="1" x14ac:dyDescent="0.2">
      <c r="A908" s="229"/>
      <c r="B908" s="229"/>
      <c r="C908" s="229"/>
      <c r="D908" s="229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  <c r="AA908" s="229"/>
      <c r="AB908" s="229"/>
      <c r="AC908" s="229"/>
      <c r="AD908" s="229"/>
    </row>
    <row r="909" spans="1:30" ht="15.75" customHeight="1" x14ac:dyDescent="0.2">
      <c r="A909" s="229"/>
      <c r="B909" s="229"/>
      <c r="C909" s="229"/>
      <c r="D909" s="229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  <c r="AA909" s="229"/>
      <c r="AB909" s="229"/>
      <c r="AC909" s="229"/>
      <c r="AD909" s="229"/>
    </row>
    <row r="910" spans="1:30" ht="15.75" customHeight="1" x14ac:dyDescent="0.2">
      <c r="A910" s="229"/>
      <c r="B910" s="229"/>
      <c r="C910" s="229"/>
      <c r="D910" s="229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  <c r="AA910" s="229"/>
      <c r="AB910" s="229"/>
      <c r="AC910" s="229"/>
      <c r="AD910" s="229"/>
    </row>
    <row r="911" spans="1:30" ht="15.75" customHeight="1" x14ac:dyDescent="0.2">
      <c r="A911" s="229"/>
      <c r="B911" s="229"/>
      <c r="C911" s="229"/>
      <c r="D911" s="229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  <c r="AA911" s="229"/>
      <c r="AB911" s="229"/>
      <c r="AC911" s="229"/>
      <c r="AD911" s="229"/>
    </row>
    <row r="912" spans="1:30" ht="15.75" customHeight="1" x14ac:dyDescent="0.2">
      <c r="A912" s="229"/>
      <c r="B912" s="229"/>
      <c r="C912" s="229"/>
      <c r="D912" s="229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  <c r="AA912" s="229"/>
      <c r="AB912" s="229"/>
      <c r="AC912" s="229"/>
      <c r="AD912" s="229"/>
    </row>
    <row r="913" spans="1:30" ht="15.75" customHeight="1" x14ac:dyDescent="0.2">
      <c r="A913" s="229"/>
      <c r="B913" s="229"/>
      <c r="C913" s="229"/>
      <c r="D913" s="229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  <c r="AD913" s="229"/>
    </row>
    <row r="914" spans="1:30" ht="15.75" customHeight="1" x14ac:dyDescent="0.2">
      <c r="A914" s="229"/>
      <c r="B914" s="229"/>
      <c r="C914" s="229"/>
      <c r="D914" s="229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  <c r="AA914" s="229"/>
      <c r="AB914" s="229"/>
      <c r="AC914" s="229"/>
      <c r="AD914" s="229"/>
    </row>
    <row r="915" spans="1:30" ht="15.75" customHeight="1" x14ac:dyDescent="0.2">
      <c r="A915" s="229"/>
      <c r="B915" s="229"/>
      <c r="C915" s="229"/>
      <c r="D915" s="229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  <c r="AA915" s="229"/>
      <c r="AB915" s="229"/>
      <c r="AC915" s="229"/>
      <c r="AD915" s="229"/>
    </row>
    <row r="916" spans="1:30" ht="15.75" customHeight="1" x14ac:dyDescent="0.2">
      <c r="A916" s="229"/>
      <c r="B916" s="229"/>
      <c r="C916" s="229"/>
      <c r="D916" s="229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  <c r="AA916" s="229"/>
      <c r="AB916" s="229"/>
      <c r="AC916" s="229"/>
      <c r="AD916" s="229"/>
    </row>
    <row r="917" spans="1:30" ht="15.75" customHeight="1" x14ac:dyDescent="0.2">
      <c r="A917" s="229"/>
      <c r="B917" s="229"/>
      <c r="C917" s="229"/>
      <c r="D917" s="229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  <c r="AA917" s="229"/>
      <c r="AB917" s="229"/>
      <c r="AC917" s="229"/>
      <c r="AD917" s="229"/>
    </row>
    <row r="918" spans="1:30" ht="15.75" customHeight="1" x14ac:dyDescent="0.2">
      <c r="A918" s="229"/>
      <c r="B918" s="229"/>
      <c r="C918" s="229"/>
      <c r="D918" s="229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  <c r="AA918" s="229"/>
      <c r="AB918" s="229"/>
      <c r="AC918" s="229"/>
      <c r="AD918" s="229"/>
    </row>
    <row r="919" spans="1:30" ht="15.75" customHeight="1" x14ac:dyDescent="0.2">
      <c r="A919" s="229"/>
      <c r="B919" s="229"/>
      <c r="C919" s="229"/>
      <c r="D919" s="229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  <c r="AA919" s="229"/>
      <c r="AB919" s="229"/>
      <c r="AC919" s="229"/>
      <c r="AD919" s="229"/>
    </row>
    <row r="920" spans="1:30" ht="15.75" customHeight="1" x14ac:dyDescent="0.2">
      <c r="A920" s="229"/>
      <c r="B920" s="229"/>
      <c r="C920" s="229"/>
      <c r="D920" s="229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  <c r="AA920" s="229"/>
      <c r="AB920" s="229"/>
      <c r="AC920" s="229"/>
      <c r="AD920" s="229"/>
    </row>
    <row r="921" spans="1:30" ht="15.75" customHeight="1" x14ac:dyDescent="0.2">
      <c r="A921" s="229"/>
      <c r="B921" s="229"/>
      <c r="C921" s="229"/>
      <c r="D921" s="229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  <c r="AA921" s="229"/>
      <c r="AB921" s="229"/>
      <c r="AC921" s="229"/>
      <c r="AD921" s="229"/>
    </row>
    <row r="922" spans="1:30" ht="15.75" customHeight="1" x14ac:dyDescent="0.2">
      <c r="A922" s="229"/>
      <c r="B922" s="229"/>
      <c r="C922" s="229"/>
      <c r="D922" s="229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  <c r="AA922" s="229"/>
      <c r="AB922" s="229"/>
      <c r="AC922" s="229"/>
      <c r="AD922" s="229"/>
    </row>
    <row r="923" spans="1:30" ht="15.75" customHeight="1" x14ac:dyDescent="0.2">
      <c r="A923" s="229"/>
      <c r="B923" s="229"/>
      <c r="C923" s="229"/>
      <c r="D923" s="229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  <c r="AA923" s="229"/>
      <c r="AB923" s="229"/>
      <c r="AC923" s="229"/>
      <c r="AD923" s="229"/>
    </row>
    <row r="924" spans="1:30" ht="15.75" customHeight="1" x14ac:dyDescent="0.2">
      <c r="A924" s="229"/>
      <c r="B924" s="229"/>
      <c r="C924" s="229"/>
      <c r="D924" s="229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  <c r="AA924" s="229"/>
      <c r="AB924" s="229"/>
      <c r="AC924" s="229"/>
      <c r="AD924" s="229"/>
    </row>
    <row r="925" spans="1:30" ht="15.75" customHeight="1" x14ac:dyDescent="0.2">
      <c r="A925" s="229"/>
      <c r="B925" s="229"/>
      <c r="C925" s="229"/>
      <c r="D925" s="229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  <c r="AA925" s="229"/>
      <c r="AB925" s="229"/>
      <c r="AC925" s="229"/>
      <c r="AD925" s="229"/>
    </row>
    <row r="926" spans="1:30" ht="15.75" customHeight="1" x14ac:dyDescent="0.2">
      <c r="A926" s="229"/>
      <c r="B926" s="229"/>
      <c r="C926" s="229"/>
      <c r="D926" s="229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  <c r="AA926" s="229"/>
      <c r="AB926" s="229"/>
      <c r="AC926" s="229"/>
      <c r="AD926" s="229"/>
    </row>
    <row r="927" spans="1:30" ht="15.75" customHeight="1" x14ac:dyDescent="0.2">
      <c r="A927" s="229"/>
      <c r="B927" s="229"/>
      <c r="C927" s="229"/>
      <c r="D927" s="229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  <c r="AA927" s="229"/>
      <c r="AB927" s="229"/>
      <c r="AC927" s="229"/>
      <c r="AD927" s="229"/>
    </row>
    <row r="928" spans="1:30" ht="15.75" customHeight="1" x14ac:dyDescent="0.2">
      <c r="A928" s="229"/>
      <c r="B928" s="229"/>
      <c r="C928" s="229"/>
      <c r="D928" s="229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  <c r="AA928" s="229"/>
      <c r="AB928" s="229"/>
      <c r="AC928" s="229"/>
      <c r="AD928" s="229"/>
    </row>
    <row r="929" spans="1:30" ht="15.75" customHeight="1" x14ac:dyDescent="0.2">
      <c r="A929" s="229"/>
      <c r="B929" s="229"/>
      <c r="C929" s="229"/>
      <c r="D929" s="229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  <c r="AA929" s="229"/>
      <c r="AB929" s="229"/>
      <c r="AC929" s="229"/>
      <c r="AD929" s="229"/>
    </row>
    <row r="930" spans="1:30" ht="15.75" customHeight="1" x14ac:dyDescent="0.2">
      <c r="A930" s="229"/>
      <c r="B930" s="229"/>
      <c r="C930" s="229"/>
      <c r="D930" s="229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  <c r="AA930" s="229"/>
      <c r="AB930" s="229"/>
      <c r="AC930" s="229"/>
      <c r="AD930" s="229"/>
    </row>
    <row r="931" spans="1:30" ht="15.75" customHeight="1" x14ac:dyDescent="0.2">
      <c r="A931" s="229"/>
      <c r="B931" s="229"/>
      <c r="C931" s="229"/>
      <c r="D931" s="229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  <c r="AA931" s="229"/>
      <c r="AB931" s="229"/>
      <c r="AC931" s="229"/>
      <c r="AD931" s="229"/>
    </row>
    <row r="932" spans="1:30" ht="15.75" customHeight="1" x14ac:dyDescent="0.2">
      <c r="A932" s="229"/>
      <c r="B932" s="229"/>
      <c r="C932" s="229"/>
      <c r="D932" s="229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  <c r="AA932" s="229"/>
      <c r="AB932" s="229"/>
      <c r="AC932" s="229"/>
      <c r="AD932" s="229"/>
    </row>
    <row r="933" spans="1:30" ht="15.75" customHeight="1" x14ac:dyDescent="0.2">
      <c r="A933" s="229"/>
      <c r="B933" s="229"/>
      <c r="C933" s="229"/>
      <c r="D933" s="229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  <c r="AA933" s="229"/>
      <c r="AB933" s="229"/>
      <c r="AC933" s="229"/>
      <c r="AD933" s="229"/>
    </row>
    <row r="934" spans="1:30" ht="15.75" customHeight="1" x14ac:dyDescent="0.2">
      <c r="A934" s="229"/>
      <c r="B934" s="229"/>
      <c r="C934" s="229"/>
      <c r="D934" s="229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  <c r="AA934" s="229"/>
      <c r="AB934" s="229"/>
      <c r="AC934" s="229"/>
      <c r="AD934" s="229"/>
    </row>
    <row r="935" spans="1:30" ht="15.75" customHeight="1" x14ac:dyDescent="0.2">
      <c r="A935" s="229"/>
      <c r="B935" s="229"/>
      <c r="C935" s="229"/>
      <c r="D935" s="229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  <c r="AA935" s="229"/>
      <c r="AB935" s="229"/>
      <c r="AC935" s="229"/>
      <c r="AD935" s="229"/>
    </row>
    <row r="936" spans="1:30" ht="15.75" customHeight="1" x14ac:dyDescent="0.2">
      <c r="A936" s="229"/>
      <c r="B936" s="229"/>
      <c r="C936" s="229"/>
      <c r="D936" s="229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  <c r="AA936" s="229"/>
      <c r="AB936" s="229"/>
      <c r="AC936" s="229"/>
      <c r="AD936" s="229"/>
    </row>
    <row r="937" spans="1:30" ht="15.75" customHeight="1" x14ac:dyDescent="0.2">
      <c r="A937" s="229"/>
      <c r="B937" s="229"/>
      <c r="C937" s="229"/>
      <c r="D937" s="229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  <c r="AA937" s="229"/>
      <c r="AB937" s="229"/>
      <c r="AC937" s="229"/>
      <c r="AD937" s="229"/>
    </row>
    <row r="938" spans="1:30" ht="15.75" customHeight="1" x14ac:dyDescent="0.2">
      <c r="A938" s="229"/>
      <c r="B938" s="229"/>
      <c r="C938" s="229"/>
      <c r="D938" s="229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  <c r="AA938" s="229"/>
      <c r="AB938" s="229"/>
      <c r="AC938" s="229"/>
      <c r="AD938" s="229"/>
    </row>
    <row r="939" spans="1:30" ht="15.75" customHeight="1" x14ac:dyDescent="0.2">
      <c r="A939" s="229"/>
      <c r="B939" s="229"/>
      <c r="C939" s="229"/>
      <c r="D939" s="229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  <c r="AA939" s="229"/>
      <c r="AB939" s="229"/>
      <c r="AC939" s="229"/>
      <c r="AD939" s="229"/>
    </row>
    <row r="940" spans="1:30" ht="15.75" customHeight="1" x14ac:dyDescent="0.2">
      <c r="A940" s="229"/>
      <c r="B940" s="229"/>
      <c r="C940" s="229"/>
      <c r="D940" s="229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  <c r="AA940" s="229"/>
      <c r="AB940" s="229"/>
      <c r="AC940" s="229"/>
      <c r="AD940" s="229"/>
    </row>
    <row r="941" spans="1:30" ht="15.75" customHeight="1" x14ac:dyDescent="0.2">
      <c r="A941" s="229"/>
      <c r="B941" s="229"/>
      <c r="C941" s="229"/>
      <c r="D941" s="229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  <c r="AA941" s="229"/>
      <c r="AB941" s="229"/>
      <c r="AC941" s="229"/>
      <c r="AD941" s="229"/>
    </row>
    <row r="942" spans="1:30" ht="15.75" customHeight="1" x14ac:dyDescent="0.2">
      <c r="A942" s="229"/>
      <c r="B942" s="229"/>
      <c r="C942" s="229"/>
      <c r="D942" s="229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  <c r="AA942" s="229"/>
      <c r="AB942" s="229"/>
      <c r="AC942" s="229"/>
      <c r="AD942" s="229"/>
    </row>
    <row r="943" spans="1:30" ht="15.75" customHeight="1" x14ac:dyDescent="0.2">
      <c r="A943" s="229"/>
      <c r="B943" s="229"/>
      <c r="C943" s="229"/>
      <c r="D943" s="229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  <c r="AA943" s="229"/>
      <c r="AB943" s="229"/>
      <c r="AC943" s="229"/>
      <c r="AD943" s="229"/>
    </row>
    <row r="944" spans="1:30" ht="15.75" customHeight="1" x14ac:dyDescent="0.2">
      <c r="A944" s="229"/>
      <c r="B944" s="229"/>
      <c r="C944" s="229"/>
      <c r="D944" s="229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  <c r="AA944" s="229"/>
      <c r="AB944" s="229"/>
      <c r="AC944" s="229"/>
      <c r="AD944" s="229"/>
    </row>
    <row r="945" spans="1:30" ht="15.75" customHeight="1" x14ac:dyDescent="0.2">
      <c r="A945" s="229"/>
      <c r="B945" s="229"/>
      <c r="C945" s="229"/>
      <c r="D945" s="229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  <c r="AA945" s="229"/>
      <c r="AB945" s="229"/>
      <c r="AC945" s="229"/>
      <c r="AD945" s="229"/>
    </row>
    <row r="946" spans="1:30" ht="15.75" customHeight="1" x14ac:dyDescent="0.2">
      <c r="A946" s="229"/>
      <c r="B946" s="229"/>
      <c r="C946" s="229"/>
      <c r="D946" s="229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  <c r="AA946" s="229"/>
      <c r="AB946" s="229"/>
      <c r="AC946" s="229"/>
      <c r="AD946" s="229"/>
    </row>
    <row r="947" spans="1:30" ht="15.75" customHeight="1" x14ac:dyDescent="0.2">
      <c r="A947" s="229"/>
      <c r="B947" s="229"/>
      <c r="C947" s="229"/>
      <c r="D947" s="229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  <c r="AA947" s="229"/>
      <c r="AB947" s="229"/>
      <c r="AC947" s="229"/>
      <c r="AD947" s="229"/>
    </row>
    <row r="948" spans="1:30" ht="15.75" customHeight="1" x14ac:dyDescent="0.2">
      <c r="A948" s="229"/>
      <c r="B948" s="229"/>
      <c r="C948" s="229"/>
      <c r="D948" s="229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  <c r="AA948" s="229"/>
      <c r="AB948" s="229"/>
      <c r="AC948" s="229"/>
      <c r="AD948" s="229"/>
    </row>
    <row r="949" spans="1:30" ht="15.75" customHeight="1" x14ac:dyDescent="0.2">
      <c r="A949" s="229"/>
      <c r="B949" s="229"/>
      <c r="C949" s="229"/>
      <c r="D949" s="229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  <c r="AA949" s="229"/>
      <c r="AB949" s="229"/>
      <c r="AC949" s="229"/>
      <c r="AD949" s="229"/>
    </row>
    <row r="950" spans="1:30" ht="15.75" customHeight="1" x14ac:dyDescent="0.2">
      <c r="A950" s="229"/>
      <c r="B950" s="229"/>
      <c r="C950" s="229"/>
      <c r="D950" s="229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  <c r="AA950" s="229"/>
      <c r="AB950" s="229"/>
      <c r="AC950" s="229"/>
      <c r="AD950" s="229"/>
    </row>
    <row r="951" spans="1:30" ht="15.75" customHeight="1" x14ac:dyDescent="0.2">
      <c r="A951" s="229"/>
      <c r="B951" s="229"/>
      <c r="C951" s="229"/>
      <c r="D951" s="229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  <c r="AA951" s="229"/>
      <c r="AB951" s="229"/>
      <c r="AC951" s="229"/>
      <c r="AD951" s="229"/>
    </row>
    <row r="952" spans="1:30" ht="15.75" customHeight="1" x14ac:dyDescent="0.2">
      <c r="A952" s="229"/>
      <c r="B952" s="229"/>
      <c r="C952" s="229"/>
      <c r="D952" s="229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  <c r="AA952" s="229"/>
      <c r="AB952" s="229"/>
      <c r="AC952" s="229"/>
      <c r="AD952" s="229"/>
    </row>
    <row r="953" spans="1:30" ht="15.75" customHeight="1" x14ac:dyDescent="0.2">
      <c r="A953" s="229"/>
      <c r="B953" s="229"/>
      <c r="C953" s="229"/>
      <c r="D953" s="229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  <c r="AA953" s="229"/>
      <c r="AB953" s="229"/>
      <c r="AC953" s="229"/>
      <c r="AD953" s="229"/>
    </row>
    <row r="954" spans="1:30" ht="15.75" customHeight="1" x14ac:dyDescent="0.2">
      <c r="A954" s="229"/>
      <c r="B954" s="229"/>
      <c r="C954" s="229"/>
      <c r="D954" s="229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  <c r="AA954" s="229"/>
      <c r="AB954" s="229"/>
      <c r="AC954" s="229"/>
      <c r="AD954" s="229"/>
    </row>
    <row r="955" spans="1:30" ht="15.75" customHeight="1" x14ac:dyDescent="0.2">
      <c r="A955" s="229"/>
      <c r="B955" s="229"/>
      <c r="C955" s="229"/>
      <c r="D955" s="229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  <c r="AA955" s="229"/>
      <c r="AB955" s="229"/>
      <c r="AC955" s="229"/>
      <c r="AD955" s="229"/>
    </row>
    <row r="956" spans="1:30" ht="15.75" customHeight="1" x14ac:dyDescent="0.2">
      <c r="A956" s="229"/>
      <c r="B956" s="229"/>
      <c r="C956" s="229"/>
      <c r="D956" s="229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  <c r="AA956" s="229"/>
      <c r="AB956" s="229"/>
      <c r="AC956" s="229"/>
      <c r="AD956" s="229"/>
    </row>
    <row r="957" spans="1:30" ht="15.75" customHeight="1" x14ac:dyDescent="0.2">
      <c r="A957" s="229"/>
      <c r="B957" s="229"/>
      <c r="C957" s="229"/>
      <c r="D957" s="229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  <c r="AA957" s="229"/>
      <c r="AB957" s="229"/>
      <c r="AC957" s="229"/>
      <c r="AD957" s="229"/>
    </row>
    <row r="958" spans="1:30" ht="15.75" customHeight="1" x14ac:dyDescent="0.2">
      <c r="A958" s="229"/>
      <c r="B958" s="229"/>
      <c r="C958" s="229"/>
      <c r="D958" s="229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  <c r="AA958" s="229"/>
      <c r="AB958" s="229"/>
      <c r="AC958" s="229"/>
      <c r="AD958" s="229"/>
    </row>
    <row r="959" spans="1:30" ht="15.75" customHeight="1" x14ac:dyDescent="0.2">
      <c r="A959" s="229"/>
      <c r="B959" s="229"/>
      <c r="C959" s="229"/>
      <c r="D959" s="229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  <c r="AA959" s="229"/>
      <c r="AB959" s="229"/>
      <c r="AC959" s="229"/>
      <c r="AD959" s="229"/>
    </row>
    <row r="960" spans="1:30" ht="15.75" customHeight="1" x14ac:dyDescent="0.2">
      <c r="A960" s="229"/>
      <c r="B960" s="229"/>
      <c r="C960" s="229"/>
      <c r="D960" s="229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  <c r="AA960" s="229"/>
      <c r="AB960" s="229"/>
      <c r="AC960" s="229"/>
      <c r="AD960" s="229"/>
    </row>
    <row r="961" spans="1:30" ht="15.75" customHeight="1" x14ac:dyDescent="0.2">
      <c r="A961" s="229"/>
      <c r="B961" s="229"/>
      <c r="C961" s="229"/>
      <c r="D961" s="229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  <c r="AA961" s="229"/>
      <c r="AB961" s="229"/>
      <c r="AC961" s="229"/>
      <c r="AD961" s="229"/>
    </row>
    <row r="962" spans="1:30" ht="15.75" customHeight="1" x14ac:dyDescent="0.2">
      <c r="A962" s="229"/>
      <c r="B962" s="229"/>
      <c r="C962" s="229"/>
      <c r="D962" s="229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  <c r="AA962" s="229"/>
      <c r="AB962" s="229"/>
      <c r="AC962" s="229"/>
      <c r="AD962" s="229"/>
    </row>
    <row r="963" spans="1:30" ht="15.75" customHeight="1" x14ac:dyDescent="0.2">
      <c r="A963" s="229"/>
      <c r="B963" s="229"/>
      <c r="C963" s="229"/>
      <c r="D963" s="229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  <c r="AA963" s="229"/>
      <c r="AB963" s="229"/>
      <c r="AC963" s="229"/>
      <c r="AD963" s="229"/>
    </row>
    <row r="964" spans="1:30" ht="15.75" customHeight="1" x14ac:dyDescent="0.2">
      <c r="A964" s="229"/>
      <c r="B964" s="229"/>
      <c r="C964" s="229"/>
      <c r="D964" s="229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  <c r="AA964" s="229"/>
      <c r="AB964" s="229"/>
      <c r="AC964" s="229"/>
      <c r="AD964" s="229"/>
    </row>
    <row r="965" spans="1:30" ht="15.75" customHeight="1" x14ac:dyDescent="0.2">
      <c r="A965" s="229"/>
      <c r="B965" s="229"/>
      <c r="C965" s="229"/>
      <c r="D965" s="229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  <c r="AA965" s="229"/>
      <c r="AB965" s="229"/>
      <c r="AC965" s="229"/>
      <c r="AD965" s="229"/>
    </row>
    <row r="966" spans="1:30" ht="15.75" customHeight="1" x14ac:dyDescent="0.2">
      <c r="A966" s="229"/>
      <c r="B966" s="229"/>
      <c r="C966" s="229"/>
      <c r="D966" s="229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  <c r="AA966" s="229"/>
      <c r="AB966" s="229"/>
      <c r="AC966" s="229"/>
      <c r="AD966" s="229"/>
    </row>
    <row r="967" spans="1:30" ht="15.75" customHeight="1" x14ac:dyDescent="0.2">
      <c r="A967" s="229"/>
      <c r="B967" s="229"/>
      <c r="C967" s="229"/>
      <c r="D967" s="229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  <c r="AA967" s="229"/>
      <c r="AB967" s="229"/>
      <c r="AC967" s="229"/>
      <c r="AD967" s="229"/>
    </row>
    <row r="968" spans="1:30" ht="15.75" customHeight="1" x14ac:dyDescent="0.2">
      <c r="A968" s="229"/>
      <c r="B968" s="229"/>
      <c r="C968" s="229"/>
      <c r="D968" s="229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  <c r="AA968" s="229"/>
      <c r="AB968" s="229"/>
      <c r="AC968" s="229"/>
      <c r="AD968" s="229"/>
    </row>
    <row r="969" spans="1:30" ht="15.75" customHeight="1" x14ac:dyDescent="0.2">
      <c r="A969" s="229"/>
      <c r="B969" s="229"/>
      <c r="C969" s="229"/>
      <c r="D969" s="229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  <c r="AA969" s="229"/>
      <c r="AB969" s="229"/>
      <c r="AC969" s="229"/>
      <c r="AD969" s="229"/>
    </row>
    <row r="970" spans="1:30" ht="15.75" customHeight="1" x14ac:dyDescent="0.2">
      <c r="A970" s="229"/>
      <c r="B970" s="229"/>
      <c r="C970" s="229"/>
      <c r="D970" s="229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  <c r="AA970" s="229"/>
      <c r="AB970" s="229"/>
      <c r="AC970" s="229"/>
      <c r="AD970" s="229"/>
    </row>
    <row r="971" spans="1:30" ht="15.75" customHeight="1" x14ac:dyDescent="0.2">
      <c r="A971" s="229"/>
      <c r="B971" s="229"/>
      <c r="C971" s="229"/>
      <c r="D971" s="229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  <c r="AA971" s="229"/>
      <c r="AB971" s="229"/>
      <c r="AC971" s="229"/>
      <c r="AD971" s="229"/>
    </row>
    <row r="972" spans="1:30" ht="15.75" customHeight="1" x14ac:dyDescent="0.2">
      <c r="A972" s="229"/>
      <c r="B972" s="229"/>
      <c r="C972" s="229"/>
      <c r="D972" s="229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  <c r="AA972" s="229"/>
      <c r="AB972" s="229"/>
      <c r="AC972" s="229"/>
      <c r="AD972" s="229"/>
    </row>
    <row r="973" spans="1:30" ht="15.75" customHeight="1" x14ac:dyDescent="0.2">
      <c r="A973" s="229"/>
      <c r="B973" s="229"/>
      <c r="C973" s="229"/>
      <c r="D973" s="229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  <c r="AA973" s="229"/>
      <c r="AB973" s="229"/>
      <c r="AC973" s="229"/>
      <c r="AD973" s="229"/>
    </row>
    <row r="974" spans="1:30" ht="15.75" customHeight="1" x14ac:dyDescent="0.2">
      <c r="A974" s="229"/>
      <c r="B974" s="229"/>
      <c r="C974" s="229"/>
      <c r="D974" s="229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  <c r="AA974" s="229"/>
      <c r="AB974" s="229"/>
      <c r="AC974" s="229"/>
      <c r="AD974" s="229"/>
    </row>
  </sheetData>
  <mergeCells count="16">
    <mergeCell ref="T4:U4"/>
    <mergeCell ref="T10:X10"/>
    <mergeCell ref="T26:W26"/>
    <mergeCell ref="R10:S10"/>
    <mergeCell ref="I26:L26"/>
    <mergeCell ref="B43:F43"/>
    <mergeCell ref="I43:M43"/>
    <mergeCell ref="B72:C72"/>
    <mergeCell ref="I77:M77"/>
    <mergeCell ref="B4:D4"/>
    <mergeCell ref="I4:J4"/>
    <mergeCell ref="C5:D5"/>
    <mergeCell ref="C6:D6"/>
    <mergeCell ref="C7:D7"/>
    <mergeCell ref="B10:F10"/>
    <mergeCell ref="I10:M10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85A81B-2201-4E43-B514-E6AC8708367E}">
          <x14:formula1>
            <xm:f>'Input keuzevariabelen'!$C$11:$C$17</xm:f>
          </x14:formula1>
          <xm:sqref>C6:D6 J7 U7</xm:sqref>
        </x14:dataValidation>
        <x14:dataValidation type="list" allowBlank="1" showInputMessage="1" showErrorMessage="1" xr:uid="{2A42E23B-9D23-D142-B14B-FB981082B6B4}">
          <x14:formula1>
            <xm:f>'Input keuzevariabelen'!$D$11:$D$12</xm:f>
          </x14:formula1>
          <xm:sqref>C7:D7 J8 U8</xm:sqref>
        </x14:dataValidation>
        <x14:dataValidation type="list" allowBlank="1" showInputMessage="1" showErrorMessage="1" xr:uid="{0D0F4699-11C2-9741-95A7-0A0ABD05C367}">
          <x14:formula1>
            <xm:f>'Input keuzevariabelen'!$B$11:$B$18</xm:f>
          </x14:formula1>
          <xm:sqref>J6 U6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0FB0-D960-4C5C-9E9A-E910E46D85F3}">
  <dimension ref="A1:CV964"/>
  <sheetViews>
    <sheetView tabSelected="1" topLeftCell="A29" zoomScale="120" zoomScaleNormal="120" workbookViewId="0">
      <selection activeCell="N54" sqref="N54"/>
    </sheetView>
  </sheetViews>
  <sheetFormatPr baseColWidth="10" defaultColWidth="0" defaultRowHeight="15" customHeight="1" x14ac:dyDescent="0.2"/>
  <cols>
    <col min="1" max="1" width="7.5" style="13" customWidth="1"/>
    <col min="2" max="2" width="52.33203125" style="13" customWidth="1"/>
    <col min="3" max="3" width="16.33203125" style="13" customWidth="1"/>
    <col min="4" max="4" width="14.33203125" style="13" customWidth="1"/>
    <col min="5" max="5" width="14.1640625" style="13" customWidth="1"/>
    <col min="6" max="9" width="12" style="13" customWidth="1"/>
    <col min="10" max="13" width="12" style="13" hidden="1" customWidth="1"/>
    <col min="14" max="15" width="8.5" style="13" customWidth="1"/>
    <col min="16" max="16" width="49" style="13" customWidth="1"/>
    <col min="17" max="17" width="26.83203125" style="13" customWidth="1"/>
    <col min="18" max="23" width="12" style="13" customWidth="1"/>
    <col min="24" max="27" width="12" style="13" hidden="1" customWidth="1"/>
    <col min="28" max="29" width="7.33203125" style="13" bestFit="1" customWidth="1"/>
    <col min="30" max="30" width="48.83203125" style="13" customWidth="1"/>
    <col min="31" max="31" width="37.6640625" style="13" customWidth="1"/>
    <col min="32" max="32" width="10.33203125" style="13" customWidth="1"/>
    <col min="33" max="33" width="10" style="13" customWidth="1"/>
    <col min="34" max="34" width="11.33203125" style="13" customWidth="1"/>
    <col min="35" max="35" width="12.6640625" style="13" customWidth="1"/>
    <col min="36" max="37" width="11" style="13" customWidth="1"/>
    <col min="38" max="38" width="12.33203125" style="13" customWidth="1"/>
    <col min="39" max="39" width="13.83203125" style="13" customWidth="1"/>
    <col min="40" max="43" width="12.5" style="13" customWidth="1"/>
    <col min="44" max="100" width="0" style="13" hidden="1" customWidth="1"/>
    <col min="101" max="16384" width="12.5" style="13" hidden="1"/>
  </cols>
  <sheetData>
    <row r="1" spans="1:39" ht="49.5" customHeight="1" x14ac:dyDescent="0.2">
      <c r="A1" s="5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5"/>
      <c r="AF1" s="5"/>
      <c r="AG1" s="5"/>
      <c r="AH1" s="5"/>
      <c r="AI1" s="5"/>
      <c r="AJ1" s="5"/>
      <c r="AK1" s="5"/>
      <c r="AL1" s="5"/>
      <c r="AM1" s="5"/>
    </row>
    <row r="2" spans="1:39" ht="49.5" customHeight="1" x14ac:dyDescent="0.2">
      <c r="A2" s="5"/>
      <c r="B2" s="5"/>
      <c r="C2" s="107" t="s">
        <v>66</v>
      </c>
      <c r="D2" s="173"/>
      <c r="E2" s="173"/>
      <c r="F2" s="173"/>
      <c r="G2" s="173"/>
      <c r="H2" s="173"/>
      <c r="I2" s="17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G2" s="16"/>
      <c r="AH2" s="16"/>
      <c r="AI2" s="16"/>
      <c r="AJ2" s="5"/>
      <c r="AK2" s="5"/>
      <c r="AL2" s="5"/>
      <c r="AM2" s="5"/>
    </row>
    <row r="3" spans="1:39" ht="15.75" customHeight="1" x14ac:dyDescent="0.2">
      <c r="A3" s="5"/>
      <c r="B3" s="5"/>
      <c r="C3" s="5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G3" s="5"/>
      <c r="AH3" s="5"/>
      <c r="AI3" s="5"/>
      <c r="AJ3" s="5"/>
      <c r="AK3" s="5"/>
      <c r="AL3" s="5"/>
      <c r="AM3" s="5"/>
    </row>
    <row r="4" spans="1:39" ht="18" customHeight="1" x14ac:dyDescent="0.2">
      <c r="A4" s="5"/>
      <c r="B4" s="1" t="s">
        <v>33</v>
      </c>
      <c r="C4" s="6" t="s">
        <v>157</v>
      </c>
      <c r="D4" s="174"/>
      <c r="E4" s="174"/>
      <c r="F4" s="174"/>
      <c r="G4" s="174"/>
      <c r="H4" s="174"/>
      <c r="I4" s="174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G4" s="5"/>
      <c r="AH4" s="5"/>
      <c r="AI4" s="6"/>
      <c r="AJ4" s="2"/>
      <c r="AK4" s="7"/>
      <c r="AL4" s="7"/>
      <c r="AM4" s="5"/>
    </row>
    <row r="5" spans="1:39" ht="18" customHeight="1" x14ac:dyDescent="0.2">
      <c r="A5" s="5"/>
      <c r="B5" s="4" t="s">
        <v>32</v>
      </c>
      <c r="C5" s="178" t="s">
        <v>80</v>
      </c>
      <c r="D5" s="175"/>
      <c r="E5" s="175"/>
      <c r="F5" s="175"/>
      <c r="G5" s="175"/>
      <c r="H5" s="175"/>
      <c r="I5" s="175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G5" s="5"/>
      <c r="AH5" s="5"/>
      <c r="AI5" s="5"/>
      <c r="AJ5" s="5"/>
      <c r="AK5" s="7"/>
      <c r="AL5" s="9"/>
      <c r="AM5" s="5"/>
    </row>
    <row r="6" spans="1:39" ht="15.75" customHeight="1" thickBot="1" x14ac:dyDescent="0.25">
      <c r="A6" s="5"/>
      <c r="B6" s="5"/>
      <c r="C6" s="5"/>
      <c r="D6" s="12"/>
      <c r="E6" s="12"/>
      <c r="F6" s="12"/>
      <c r="G6" s="12"/>
      <c r="H6" s="12"/>
      <c r="I6" s="12"/>
      <c r="J6" s="5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5"/>
      <c r="AF6" s="5"/>
      <c r="AG6" s="5"/>
      <c r="AH6" s="5"/>
      <c r="AI6" s="5"/>
      <c r="AJ6" s="5"/>
      <c r="AK6" s="5"/>
    </row>
    <row r="7" spans="1:39" ht="24.75" customHeight="1" thickTop="1" thickBot="1" x14ac:dyDescent="0.25">
      <c r="A7" s="5"/>
      <c r="B7" s="375"/>
      <c r="C7" s="376"/>
      <c r="D7" s="172"/>
      <c r="E7" s="180"/>
      <c r="F7" s="180"/>
      <c r="G7" s="180"/>
      <c r="H7" s="180"/>
      <c r="I7" s="172"/>
      <c r="L7" s="12"/>
      <c r="M7" s="12"/>
      <c r="N7" s="12"/>
      <c r="O7" s="12"/>
      <c r="P7" s="370" t="s">
        <v>46</v>
      </c>
      <c r="Q7" s="37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370" t="s">
        <v>158</v>
      </c>
      <c r="AE7" s="371"/>
      <c r="AF7" s="12"/>
      <c r="AG7" s="12"/>
      <c r="AH7" s="12"/>
      <c r="AI7" s="12"/>
      <c r="AJ7" s="12"/>
      <c r="AK7" s="12"/>
      <c r="AL7" s="12"/>
      <c r="AM7" s="12"/>
    </row>
    <row r="8" spans="1:39" ht="15.75" customHeight="1" thickTop="1" thickBot="1" x14ac:dyDescent="0.25">
      <c r="A8" s="5"/>
      <c r="B8" s="17"/>
      <c r="C8" s="17"/>
      <c r="D8" s="17"/>
      <c r="E8" s="17"/>
      <c r="F8" s="17"/>
      <c r="G8" s="17"/>
      <c r="H8" s="17"/>
      <c r="I8" s="17"/>
      <c r="L8" s="12"/>
      <c r="M8" s="12"/>
      <c r="N8" s="12"/>
      <c r="O8" s="12"/>
      <c r="P8" s="218" t="s">
        <v>36</v>
      </c>
      <c r="Q8" s="219" t="s">
        <v>37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218" t="s">
        <v>36</v>
      </c>
      <c r="AE8" s="219" t="s">
        <v>37</v>
      </c>
      <c r="AF8" s="12"/>
      <c r="AG8" s="12"/>
      <c r="AH8" s="12"/>
      <c r="AI8" s="12"/>
      <c r="AJ8" s="12"/>
      <c r="AK8" s="12"/>
      <c r="AL8" s="12"/>
      <c r="AM8" s="12"/>
    </row>
    <row r="9" spans="1:39" ht="15.75" customHeight="1" thickTop="1" thickBot="1" x14ac:dyDescent="0.25">
      <c r="A9" s="5"/>
      <c r="B9" s="12"/>
      <c r="C9" s="18"/>
      <c r="D9" s="18"/>
      <c r="E9" s="18"/>
      <c r="F9" s="18"/>
      <c r="G9" s="18"/>
      <c r="H9" s="18"/>
      <c r="I9" s="18"/>
      <c r="L9" s="12"/>
      <c r="M9" s="12"/>
      <c r="N9" s="12"/>
      <c r="O9" s="12"/>
      <c r="P9" s="137" t="s">
        <v>0</v>
      </c>
      <c r="Q9" s="138" t="s">
        <v>125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7" t="s">
        <v>0</v>
      </c>
      <c r="AE9" s="138" t="s">
        <v>127</v>
      </c>
      <c r="AF9" s="12"/>
      <c r="AG9" s="12"/>
      <c r="AH9" s="12"/>
      <c r="AI9" s="12"/>
      <c r="AJ9" s="12"/>
      <c r="AK9" s="12"/>
      <c r="AL9" s="12"/>
      <c r="AM9" s="12"/>
    </row>
    <row r="10" spans="1:39" ht="15.75" customHeight="1" thickTop="1" thickBot="1" x14ac:dyDescent="0.25">
      <c r="A10" s="5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t="33.75" customHeight="1" thickTop="1" thickBot="1" x14ac:dyDescent="0.25">
      <c r="A11" s="5"/>
      <c r="B11" s="372" t="s">
        <v>211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4"/>
      <c r="N11" s="34"/>
      <c r="O11" s="12"/>
      <c r="P11" s="372" t="s">
        <v>222</v>
      </c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4"/>
      <c r="AB11" s="34"/>
      <c r="AC11" s="34"/>
      <c r="AD11" s="372" t="s">
        <v>223</v>
      </c>
      <c r="AE11" s="373"/>
      <c r="AF11" s="373"/>
      <c r="AG11" s="373"/>
      <c r="AH11" s="373"/>
      <c r="AI11" s="373"/>
      <c r="AJ11" s="373"/>
      <c r="AK11" s="373"/>
      <c r="AL11" s="373"/>
      <c r="AM11" s="373"/>
    </row>
    <row r="12" spans="1:39" ht="18.75" customHeight="1" thickTop="1" thickBot="1" x14ac:dyDescent="0.25">
      <c r="A12" s="12"/>
      <c r="B12" s="115"/>
      <c r="C12" s="116">
        <v>2019</v>
      </c>
      <c r="D12" s="116">
        <f>C12+1</f>
        <v>2020</v>
      </c>
      <c r="E12" s="116">
        <f t="shared" ref="E12:M12" si="0">D12+1</f>
        <v>2021</v>
      </c>
      <c r="F12" s="116">
        <f t="shared" si="0"/>
        <v>2022</v>
      </c>
      <c r="G12" s="116">
        <f t="shared" si="0"/>
        <v>2023</v>
      </c>
      <c r="H12" s="116">
        <f t="shared" si="0"/>
        <v>2024</v>
      </c>
      <c r="I12" s="116">
        <f t="shared" si="0"/>
        <v>2025</v>
      </c>
      <c r="J12" s="116">
        <f t="shared" si="0"/>
        <v>2026</v>
      </c>
      <c r="K12" s="116">
        <f t="shared" si="0"/>
        <v>2027</v>
      </c>
      <c r="L12" s="116">
        <f t="shared" si="0"/>
        <v>2028</v>
      </c>
      <c r="M12" s="116">
        <f t="shared" si="0"/>
        <v>2029</v>
      </c>
      <c r="O12" s="12"/>
      <c r="P12" s="115"/>
      <c r="Q12" s="116">
        <v>2019</v>
      </c>
      <c r="R12" s="116">
        <f>+Q12+1</f>
        <v>2020</v>
      </c>
      <c r="S12" s="116">
        <f t="shared" ref="S12:AA12" si="1">+R12+1</f>
        <v>2021</v>
      </c>
      <c r="T12" s="116">
        <f t="shared" si="1"/>
        <v>2022</v>
      </c>
      <c r="U12" s="116">
        <f t="shared" si="1"/>
        <v>2023</v>
      </c>
      <c r="V12" s="116">
        <f t="shared" si="1"/>
        <v>2024</v>
      </c>
      <c r="W12" s="116">
        <f t="shared" si="1"/>
        <v>2025</v>
      </c>
      <c r="X12" s="116">
        <f t="shared" si="1"/>
        <v>2026</v>
      </c>
      <c r="Y12" s="116">
        <f t="shared" si="1"/>
        <v>2027</v>
      </c>
      <c r="Z12" s="116">
        <f t="shared" si="1"/>
        <v>2028</v>
      </c>
      <c r="AA12" s="116">
        <f t="shared" si="1"/>
        <v>2029</v>
      </c>
      <c r="AD12" s="115"/>
      <c r="AE12" s="116">
        <v>2019</v>
      </c>
      <c r="AF12" s="116">
        <f>+AE12+1</f>
        <v>2020</v>
      </c>
      <c r="AG12" s="116">
        <f t="shared" ref="AG12" si="2">+AF12+1</f>
        <v>2021</v>
      </c>
      <c r="AH12" s="116">
        <f t="shared" ref="AH12" si="3">+AG12+1</f>
        <v>2022</v>
      </c>
      <c r="AI12" s="116">
        <f t="shared" ref="AI12" si="4">+AH12+1</f>
        <v>2023</v>
      </c>
      <c r="AJ12" s="116">
        <f t="shared" ref="AJ12" si="5">+AI12+1</f>
        <v>2024</v>
      </c>
      <c r="AK12" s="116">
        <f t="shared" ref="AK12" si="6">+AJ12+1</f>
        <v>2025</v>
      </c>
      <c r="AL12" s="116">
        <f t="shared" ref="AL12" si="7">+AK12+1</f>
        <v>2026</v>
      </c>
      <c r="AM12" s="116">
        <f t="shared" ref="AM12" si="8">+AL12+1</f>
        <v>2027</v>
      </c>
    </row>
    <row r="13" spans="1:39" ht="23.25" customHeight="1" thickTop="1" thickBot="1" x14ac:dyDescent="0.25">
      <c r="A13" s="5"/>
      <c r="B13" s="308" t="s">
        <v>38</v>
      </c>
      <c r="C13" s="309" t="s">
        <v>16</v>
      </c>
      <c r="D13" s="309" t="s">
        <v>16</v>
      </c>
      <c r="E13" s="309" t="s">
        <v>16</v>
      </c>
      <c r="F13" s="309" t="s">
        <v>16</v>
      </c>
      <c r="G13" s="309" t="s">
        <v>16</v>
      </c>
      <c r="H13" s="309" t="s">
        <v>16</v>
      </c>
      <c r="I13" s="309" t="s">
        <v>16</v>
      </c>
      <c r="J13" s="128" t="s">
        <v>16</v>
      </c>
      <c r="K13" s="128" t="s">
        <v>16</v>
      </c>
      <c r="L13" s="128" t="s">
        <v>16</v>
      </c>
      <c r="M13" s="128" t="s">
        <v>16</v>
      </c>
      <c r="O13" s="12"/>
      <c r="P13" s="308" t="s">
        <v>38</v>
      </c>
      <c r="Q13" s="309" t="s">
        <v>16</v>
      </c>
      <c r="R13" s="309" t="s">
        <v>16</v>
      </c>
      <c r="S13" s="309" t="s">
        <v>16</v>
      </c>
      <c r="T13" s="309" t="s">
        <v>16</v>
      </c>
      <c r="U13" s="309" t="s">
        <v>16</v>
      </c>
      <c r="V13" s="309" t="s">
        <v>16</v>
      </c>
      <c r="W13" s="309" t="s">
        <v>16</v>
      </c>
      <c r="X13" s="128" t="s">
        <v>16</v>
      </c>
      <c r="Y13" s="128" t="s">
        <v>16</v>
      </c>
      <c r="Z13" s="128" t="s">
        <v>16</v>
      </c>
      <c r="AA13" s="128" t="s">
        <v>16</v>
      </c>
      <c r="AD13" s="308" t="s">
        <v>38</v>
      </c>
      <c r="AE13" s="309" t="s">
        <v>16</v>
      </c>
      <c r="AF13" s="309" t="s">
        <v>16</v>
      </c>
      <c r="AG13" s="309" t="s">
        <v>16</v>
      </c>
      <c r="AH13" s="309" t="s">
        <v>16</v>
      </c>
      <c r="AI13" s="309" t="s">
        <v>16</v>
      </c>
      <c r="AJ13" s="309" t="s">
        <v>16</v>
      </c>
      <c r="AK13" s="309" t="s">
        <v>16</v>
      </c>
      <c r="AL13" s="309" t="s">
        <v>16</v>
      </c>
      <c r="AM13" s="309" t="s">
        <v>16</v>
      </c>
    </row>
    <row r="14" spans="1:39" ht="15.75" customHeight="1" thickTop="1" thickBot="1" x14ac:dyDescent="0.25">
      <c r="A14" s="5"/>
      <c r="B14" s="82" t="s">
        <v>5</v>
      </c>
      <c r="C14" s="122">
        <f>SUMIFS(Data!$M:$M,Data!$G:$G,$B14,Data!$D:$D,C$12,Data!$E:$E,C$13)</f>
        <v>1747.0650172500004</v>
      </c>
      <c r="D14" s="120">
        <f>SUMIFS(Data!$M$8:$M$300,Data!$G$8:$G$300,$B14,Data!$D$8:$D$300,D$12,Data!$E$8:$E$300,D$13)</f>
        <v>2986.3220057039998</v>
      </c>
      <c r="E14" s="120">
        <f>SUMIFS(Data!$M$8:$M$300,Data!$G$8:$G$300,$B14,Data!$D$8:$D$300,E$12,Data!$E$8:$E$300,E$13)</f>
        <v>3955.8196526400002</v>
      </c>
      <c r="F14" s="120">
        <f>SUMIFS(Data!$M$8:$M$300,Data!$G$8:$G$300,$B14,Data!$D$8:$D$300,F$12,Data!$E$8:$E$300,F$13)</f>
        <v>0</v>
      </c>
      <c r="G14" s="120">
        <f>SUMIFS(Data!$M$8:$M$300,Data!$G$8:$G$300,$B14,Data!$D$8:$D$300,G$12,Data!$E$8:$E$300,G$13)</f>
        <v>0</v>
      </c>
      <c r="H14" s="120">
        <f>SUMIFS(Data!$M$8:$M$300,Data!$G$8:$G$300,$B14,Data!$D$8:$D$300,H$12,Data!$E$8:$E$300,H$13)</f>
        <v>0</v>
      </c>
      <c r="I14" s="120">
        <f>SUMIFS(Data!$M$8:$M$300,Data!$G$8:$G$300,$B14,Data!$D$8:$D$300,I$12,Data!$E$8:$E$300,I$13)</f>
        <v>0</v>
      </c>
      <c r="J14" s="120">
        <f>SUMIFS(Data!$M$8:$M$300,Data!$G$8:$G$300,$B14,Data!$D$8:$D$300,J$12,Data!$E$8:$E$300,J$13)</f>
        <v>0</v>
      </c>
      <c r="K14" s="120">
        <f>SUMIFS(Data!$M$8:$M$300,Data!$G$8:$G$300,$B14,Data!$D$8:$D$300,K$12,Data!$E$8:$E$300,K$13)</f>
        <v>0</v>
      </c>
      <c r="L14" s="120">
        <f>SUMIFS(Data!$M$8:$M$300,Data!$G$8:$G$300,$B14,Data!$D$8:$D$300,L$12,Data!$E$8:$E$300,L$13)</f>
        <v>0</v>
      </c>
      <c r="M14" s="121">
        <f>SUMIFS(Data!$M$8:$M$300,Data!$G$8:$G$300,$B14,Data!$D$8:$D$300,M$12,Data!$E$8:$E$300,M$13)</f>
        <v>0</v>
      </c>
      <c r="O14" s="12"/>
      <c r="P14" s="82" t="s">
        <v>5</v>
      </c>
      <c r="Q14" s="120">
        <f>SUMIFS(Data!$M$8:$M$300,Data!$G$8:$G$300,$P14,Data!$D$8:$D$300,Q$12,Data!$C$8:$C$300,$Q$9,Data!$E$8:$E$300,Q$13)</f>
        <v>1441.11366</v>
      </c>
      <c r="R14" s="120">
        <f>SUMIFS(Data!$M$8:$M$300,Data!$G$8:$G$300,$P14,Data!$D$8:$D$300,R$12,Data!$C$8:$C$300,$Q$9,Data!$E$8:$E$300,R$13)</f>
        <v>2680.5514320000002</v>
      </c>
      <c r="S14" s="120">
        <f>SUMIFS(Data!$M$8:$M$300,Data!$G$8:$G$300,$P14,Data!$D$8:$D$300,S$12,Data!$C$8:$C$300,$Q$9,Data!$E$8:$E$300,S$13)</f>
        <v>3660.9511199999997</v>
      </c>
      <c r="T14" s="120">
        <f>SUMIFS(Data!$M$8:$M$300,Data!$G$8:$G$300,$P14,Data!$D$8:$D$300,T$12,Data!$C$8:$C$300,$Q$9,Data!$E$8:$E$300,T$13)</f>
        <v>0</v>
      </c>
      <c r="U14" s="120">
        <f>SUMIFS(Data!$M$8:$M$300,Data!$G$8:$G$300,$P14,Data!$D$8:$D$300,U$12,Data!$C$8:$C$300,$Q$9,Data!$E$8:$E$300,U$13)</f>
        <v>0</v>
      </c>
      <c r="V14" s="120">
        <f>SUMIFS(Data!$M$8:$M$300,Data!$G$8:$G$300,$P14,Data!$D$8:$D$300,V$12,Data!$C$8:$C$300,$Q$9,Data!$E$8:$E$300,V$13)</f>
        <v>0</v>
      </c>
      <c r="W14" s="120">
        <f>SUMIFS(Data!$M$8:$M$300,Data!$G$8:$G$300,$P14,Data!$D$8:$D$300,W$12,Data!$C$8:$C$300,$Q$9,Data!$E$8:$E$300,W$13)</f>
        <v>0</v>
      </c>
      <c r="X14" s="120">
        <f>SUMIFS(Data!$M$8:$M$300,Data!$G$8:$G$300,$P14,Data!$D$8:$D$300,X$12,Data!$C$8:$C$300,$Q$9,Data!$E$8:$E$300,X$13)</f>
        <v>0</v>
      </c>
      <c r="Y14" s="120">
        <f>SUMIFS(Data!$M$8:$M$300,Data!$G$8:$G$300,$P14,Data!$D$8:$D$300,Y$12,Data!$C$8:$C$300,$Q$9,Data!$E$8:$E$300,Y$13)</f>
        <v>0</v>
      </c>
      <c r="Z14" s="120">
        <f>SUMIFS(Data!$M$8:$M$300,Data!$G$8:$G$300,$P14,Data!$D$8:$D$300,Z$12,Data!$C$8:$C$300,$Q$9,Data!$E$8:$E$300,Z$13)</f>
        <v>0</v>
      </c>
      <c r="AA14" s="121">
        <f>SUMIFS(Data!$M$8:$M$300,Data!$G$8:$G$300,$P14,Data!$D$8:$D$300,AA$12,Data!$C$8:$C$300,$Q$9,Data!$E$8:$E$300,AA$13)</f>
        <v>0</v>
      </c>
      <c r="AD14" s="82" t="s">
        <v>5</v>
      </c>
      <c r="AE14" s="120">
        <f>SUMIFS(Data!$M$8:$M$300,Data!$G$8:$G$300,$AD14,Data!$D$8:$D$300,AE$12,Data!$B$8:$B$300,$AE$9,Data!$E$8:$E$300,AE$13)</f>
        <v>1607.1539400000001</v>
      </c>
      <c r="AF14" s="120">
        <f>SUMIFS(Data!$M$8:$M$300,Data!$G$8:$G$300,$AD14,Data!$D$8:$D$300,AF$12,Data!$B$8:$B$300,$AE$9,Data!$E$8:$E$300,AF$13)</f>
        <v>2827.9141440000003</v>
      </c>
      <c r="AG14" s="120">
        <f>SUMIFS(Data!$M$8:$M$300,Data!$G$8:$G$300,$AD14,Data!$D$8:$D$300,AG$12,Data!$B$8:$B$300,$AE$9,Data!$E$8:$E$300,AG$13)</f>
        <v>3843.4730399999999</v>
      </c>
      <c r="AH14" s="120">
        <f>SUMIFS(Data!$M$8:$M$300,Data!$G$8:$G$300,$AD14,Data!$D$8:$D$300,AH$12,Data!$B$8:$B$300,$AE$9,Data!$E$8:$E$300,AH$13)</f>
        <v>0</v>
      </c>
      <c r="AI14" s="120">
        <f>SUMIFS(Data!$M$8:$M$300,Data!$G$8:$G$300,$AD14,Data!$D$8:$D$300,AI$12,Data!$B$8:$B$300,$AE$9,Data!$E$8:$E$300,AI$13)</f>
        <v>0</v>
      </c>
      <c r="AJ14" s="120">
        <f>SUMIFS(Data!$M$8:$M$300,Data!$G$8:$G$300,$AD14,Data!$D$8:$D$300,AJ$12,Data!$B$8:$B$300,$AE$9,Data!$E$8:$E$300,AJ$13)</f>
        <v>0</v>
      </c>
      <c r="AK14" s="120">
        <f>SUMIFS(Data!$M$8:$M$300,Data!$G$8:$G$300,$AD14,Data!$D$8:$D$300,AK$12,Data!$B$8:$B$300,$AE$9,Data!$E$8:$E$300,AK$13)</f>
        <v>0</v>
      </c>
      <c r="AL14" s="120">
        <f>SUMIFS(Data!$M$8:$M$300,Data!$G$8:$G$300,$AD14,Data!$D$8:$D$300,AL$12,Data!$B$8:$B$300,$AE$9,Data!$E$8:$E$300,AL$13)</f>
        <v>0</v>
      </c>
      <c r="AM14" s="120">
        <f>SUMIFS(Data!$M$8:$M$300,Data!$G$8:$G$300,$AD14,Data!$D$8:$D$300,AM$12,Data!$B$8:$B$300,$AE$9,Data!$E$8:$E$300,AM$13)</f>
        <v>0</v>
      </c>
    </row>
    <row r="15" spans="1:39" ht="15.75" customHeight="1" thickTop="1" thickBot="1" x14ac:dyDescent="0.25">
      <c r="A15" s="12"/>
      <c r="B15" s="86" t="s">
        <v>81</v>
      </c>
      <c r="C15" s="122">
        <f>SUMIFS(Data!$M$8:$M$300,Data!$G$8:$G$300,$B15,Data!$D$8:$D$300,C$12,Data!$E$8:$E$300,C$13)</f>
        <v>144.73090165799999</v>
      </c>
      <c r="D15" s="122">
        <f>SUMIFS(Data!$M$8:$M$300,Data!$G$8:$G$300,$B15,Data!$D$8:$D$300,D$12,Data!$E$8:$E$300,D$13)</f>
        <v>137.29809539600001</v>
      </c>
      <c r="E15" s="122">
        <f>SUMIFS(Data!$M$8:$M$300,Data!$G$8:$G$300,$B15,Data!$D$8:$D$300,E$12,Data!$E$8:$E$300,E$13)</f>
        <v>133.22583416800001</v>
      </c>
      <c r="F15" s="122">
        <f>SUMIFS(Data!$M$8:$M$300,Data!$G$8:$G$300,$B15,Data!$D$8:$D$300,F$12,Data!$E$8:$E$300,F$13)</f>
        <v>0</v>
      </c>
      <c r="G15" s="122">
        <f>SUMIFS(Data!$M$8:$M$300,Data!$G$8:$G$300,$B15,Data!$D$8:$D$300,G$12,Data!$E$8:$E$300,G$13)</f>
        <v>0</v>
      </c>
      <c r="H15" s="122">
        <f>SUMIFS(Data!$M$8:$M$300,Data!$G$8:$G$300,$B15,Data!$D$8:$D$300,H$12,Data!$E$8:$E$300,H$13)</f>
        <v>0</v>
      </c>
      <c r="I15" s="122">
        <f>SUMIFS(Data!$M$8:$M$300,Data!$G$8:$G$300,$B15,Data!$D$8:$D$300,I$12,Data!$E$8:$E$300,I$13)</f>
        <v>0</v>
      </c>
      <c r="J15" s="122">
        <f>SUMIFS(Data!$M$8:$M$300,Data!$G$8:$G$300,$B15,Data!$D$8:$D$300,J$12,Data!$E$8:$E$300,J$13)</f>
        <v>0</v>
      </c>
      <c r="K15" s="122">
        <f>SUMIFS(Data!$M$8:$M$300,Data!$G$8:$G$300,$B15,Data!$D$8:$D$300,K$12,Data!$E$8:$E$300,K$13)</f>
        <v>0</v>
      </c>
      <c r="L15" s="122">
        <f>SUMIFS(Data!$M$8:$M$300,Data!$G$8:$G$300,$B15,Data!$D$8:$D$300,L$12,Data!$E$8:$E$300,L$13)</f>
        <v>0</v>
      </c>
      <c r="M15" s="123">
        <f>SUMIFS(Data!$M$8:$M$300,Data!$G$8:$G$300,$B15,Data!$D$8:$D$300,M$12,Data!$E$8:$E$300,M$13)</f>
        <v>0</v>
      </c>
      <c r="O15" s="12"/>
      <c r="P15" s="86" t="s">
        <v>81</v>
      </c>
      <c r="Q15" s="122">
        <f>SUMIFS(Data!$M$8:$M$300,Data!$G$8:$G$300,$P15,Data!$D$8:$D$300,Q$12,Data!$C$8:$C$300,$Q$9,Data!$E$8:$E$300,Q$13)</f>
        <v>0</v>
      </c>
      <c r="R15" s="122">
        <f>SUMIFS(Data!$M$8:$M$300,Data!$G$8:$G$300,$P15,Data!$D$8:$D$300,R$12,Data!$C$8:$C$300,$Q$9,Data!$E$8:$E$300,R$13)</f>
        <v>15.618456</v>
      </c>
      <c r="S15" s="122">
        <f>SUMIFS(Data!$M$8:$M$300,Data!$G$8:$G$300,$P15,Data!$D$8:$D$300,S$12,Data!$C$8:$C$300,$Q$9,Data!$E$8:$E$300,S$13)</f>
        <v>2.8314159999999999</v>
      </c>
      <c r="T15" s="122">
        <f>SUMIFS(Data!$M$8:$M$300,Data!$G$8:$G$300,$P15,Data!$D$8:$D$300,T$12,Data!$C$8:$C$300,$Q$9,Data!$E$8:$E$300,T$13)</f>
        <v>0</v>
      </c>
      <c r="U15" s="122">
        <f>SUMIFS(Data!$M$8:$M$300,Data!$G$8:$G$300,$P15,Data!$D$8:$D$300,U$12,Data!$C$8:$C$300,$Q$9,Data!$E$8:$E$300,U$13)</f>
        <v>0</v>
      </c>
      <c r="V15" s="122">
        <f>SUMIFS(Data!$M$8:$M$300,Data!$G$8:$G$300,$P15,Data!$D$8:$D$300,V$12,Data!$C$8:$C$300,$Q$9,Data!$E$8:$E$300,V$13)</f>
        <v>0</v>
      </c>
      <c r="W15" s="122">
        <f>SUMIFS(Data!$M$8:$M$300,Data!$G$8:$G$300,$P15,Data!$D$8:$D$300,W$12,Data!$C$8:$C$300,$Q$9,Data!$E$8:$E$300,W$13)</f>
        <v>0</v>
      </c>
      <c r="X15" s="122">
        <f>SUMIFS(Data!$M$8:$M$300,Data!$G$8:$G$300,$P15,Data!$D$8:$D$300,X$12,Data!$C$8:$C$300,$Q$9,Data!$E$8:$E$300,X$13)</f>
        <v>0</v>
      </c>
      <c r="Y15" s="122">
        <f>SUMIFS(Data!$M$8:$M$300,Data!$G$8:$G$300,$P15,Data!$D$8:$D$300,Y$12,Data!$C$8:$C$300,$Q$9,Data!$E$8:$E$300,Y$13)</f>
        <v>0</v>
      </c>
      <c r="Z15" s="122">
        <f>SUMIFS(Data!$M$8:$M$300,Data!$G$8:$G$300,$P15,Data!$D$8:$D$300,Z$12,Data!$C$8:$C$300,$Q$9,Data!$E$8:$E$300,Z$13)</f>
        <v>0</v>
      </c>
      <c r="AA15" s="123">
        <f>SUMIFS(Data!$M$8:$M$300,Data!$G$8:$G$300,$P15,Data!$D$8:$D$300,AA$12,Data!$C$8:$C$300,$Q$9,Data!$E$8:$E$300,AA$13)</f>
        <v>0</v>
      </c>
      <c r="AD15" s="86" t="s">
        <v>81</v>
      </c>
      <c r="AE15" s="120">
        <f>SUMIFS(Data!$M$8:$M$300,Data!$G$8:$G$300,$AD15,Data!$D$8:$D$300,AE$12,Data!$B$8:$B$300,$AE$9,Data!$E$8:$E$300,AE$13)</f>
        <v>112.42989299999999</v>
      </c>
      <c r="AF15" s="120">
        <f>SUMIFS(Data!$M$8:$M$300,Data!$G$8:$G$300,$AD15,Data!$D$8:$D$300,AF$12,Data!$B$8:$B$300,$AE$9,Data!$E$8:$E$300,AF$13)</f>
        <v>105.94976</v>
      </c>
      <c r="AG15" s="120">
        <f>SUMIFS(Data!$M$8:$M$300,Data!$G$8:$G$300,$AD15,Data!$D$8:$D$300,AG$12,Data!$B$8:$B$300,$AE$9,Data!$E$8:$E$300,AG$13)</f>
        <v>91.179423999999997</v>
      </c>
      <c r="AH15" s="120">
        <f>SUMIFS(Data!$M$8:$M$300,Data!$G$8:$G$300,$AD15,Data!$D$8:$D$300,AH$12,Data!$B$8:$B$300,$AE$9,Data!$E$8:$E$300,AH$13)</f>
        <v>0</v>
      </c>
      <c r="AI15" s="120">
        <f>SUMIFS(Data!$M$8:$M$300,Data!$G$8:$G$300,$AD15,Data!$D$8:$D$300,AI$12,Data!$B$8:$B$300,$AE$9,Data!$E$8:$E$300,AI$13)</f>
        <v>0</v>
      </c>
      <c r="AJ15" s="120">
        <f>SUMIFS(Data!$M$8:$M$300,Data!$G$8:$G$300,$AD15,Data!$D$8:$D$300,AJ$12,Data!$B$8:$B$300,$AE$9,Data!$E$8:$E$300,AJ$13)</f>
        <v>0</v>
      </c>
      <c r="AK15" s="120">
        <f>SUMIFS(Data!$M$8:$M$300,Data!$G$8:$G$300,$AD15,Data!$D$8:$D$300,AK$12,Data!$B$8:$B$300,$AE$9,Data!$E$8:$E$300,AK$13)</f>
        <v>0</v>
      </c>
      <c r="AL15" s="120">
        <f>SUMIFS(Data!$M$8:$M$300,Data!$G$8:$G$300,$AD15,Data!$D$8:$D$300,AL$12,Data!$B$8:$B$300,$AE$9,Data!$E$8:$E$300,AL$13)</f>
        <v>0</v>
      </c>
      <c r="AM15" s="120">
        <f>SUMIFS(Data!$M$8:$M$300,Data!$G$8:$G$300,$AD15,Data!$D$8:$D$300,AM$12,Data!$B$8:$B$300,$AE$9,Data!$E$8:$E$300,AM$13)</f>
        <v>0</v>
      </c>
    </row>
    <row r="16" spans="1:39" ht="15.75" customHeight="1" thickTop="1" thickBot="1" x14ac:dyDescent="0.25">
      <c r="A16" s="5"/>
      <c r="B16" s="86" t="s">
        <v>82</v>
      </c>
      <c r="C16" s="122">
        <f>SUMIFS(Data!$M$8:$M$300,Data!$G$8:$G$300,$B16,Data!$D$8:$D$300,C$12,Data!$E$8:$E$300,C$13)</f>
        <v>82.060476567999999</v>
      </c>
      <c r="D16" s="122">
        <f>SUMIFS(Data!$M$8:$M$300,Data!$G$8:$G$300,$B16,Data!$D$8:$D$300,D$12,Data!$E$8:$E$300,D$13)</f>
        <v>7.3219144319999998</v>
      </c>
      <c r="E16" s="122">
        <f>SUMIFS(Data!$M$8:$M$300,Data!$G$8:$G$300,$B16,Data!$D$8:$D$300,E$12,Data!$E$8:$E$300,E$13)</f>
        <v>81.579421152000009</v>
      </c>
      <c r="F16" s="122">
        <f>SUMIFS(Data!$M$8:$M$300,Data!$G$8:$G$300,$B16,Data!$D$8:$D$300,F$12,Data!$E$8:$E$300,F$13)</f>
        <v>0</v>
      </c>
      <c r="G16" s="122">
        <f>SUMIFS(Data!$M$8:$M$300,Data!$G$8:$G$300,$B16,Data!$D$8:$D$300,G$12,Data!$E$8:$E$300,G$13)</f>
        <v>0</v>
      </c>
      <c r="H16" s="122">
        <f>SUMIFS(Data!$M$8:$M$300,Data!$G$8:$G$300,$B16,Data!$D$8:$D$300,H$12,Data!$E$8:$E$300,H$13)</f>
        <v>0</v>
      </c>
      <c r="I16" s="122">
        <f>SUMIFS(Data!$M$8:$M$300,Data!$G$8:$G$300,$B16,Data!$D$8:$D$300,I$12,Data!$E$8:$E$300,I$13)</f>
        <v>0</v>
      </c>
      <c r="J16" s="122">
        <f>SUMIFS(Data!$M$8:$M$300,Data!$G$8:$G$300,$B16,Data!$D$8:$D$300,J$12,Data!$E$8:$E$300,J$13)</f>
        <v>0</v>
      </c>
      <c r="K16" s="122">
        <f>SUMIFS(Data!$M$8:$M$300,Data!$G$8:$G$300,$B16,Data!$D$8:$D$300,K$12,Data!$E$8:$E$300,K$13)</f>
        <v>0</v>
      </c>
      <c r="L16" s="122">
        <f>SUMIFS(Data!$M$8:$M$300,Data!$G$8:$G$300,$B16,Data!$D$8:$D$300,L$12,Data!$E$8:$E$300,L$13)</f>
        <v>0</v>
      </c>
      <c r="M16" s="123">
        <f>SUMIFS(Data!$M$8:$M$300,Data!$G$8:$G$300,$B16,Data!$D$8:$D$300,M$12,Data!$E$8:$E$300,M$13)</f>
        <v>0</v>
      </c>
      <c r="O16" s="12"/>
      <c r="P16" s="86" t="s">
        <v>82</v>
      </c>
      <c r="Q16" s="122">
        <f>SUMIFS(Data!$M$8:$M$300,Data!$G$8:$G$300,$P16,Data!$D$8:$D$300,Q$12,Data!$C$8:$C$300,$Q$9,Data!$E$8:$E$300,Q$13)</f>
        <v>0</v>
      </c>
      <c r="R16" s="122">
        <f>SUMIFS(Data!$M$8:$M$300,Data!$G$8:$G$300,$P16,Data!$D$8:$D$300,R$12,Data!$C$8:$C$300,$Q$9,Data!$E$8:$E$300,R$13)</f>
        <v>0</v>
      </c>
      <c r="S16" s="122">
        <f>SUMIFS(Data!$M$8:$M$300,Data!$G$8:$G$300,$P16,Data!$D$8:$D$300,S$12,Data!$C$8:$C$300,$Q$9,Data!$E$8:$E$300,S$13)</f>
        <v>0</v>
      </c>
      <c r="T16" s="122">
        <f>SUMIFS(Data!$M$8:$M$300,Data!$G$8:$G$300,$P16,Data!$D$8:$D$300,T$12,Data!$C$8:$C$300,$Q$9,Data!$E$8:$E$300,T$13)</f>
        <v>0</v>
      </c>
      <c r="U16" s="122">
        <f>SUMIFS(Data!$M$8:$M$300,Data!$G$8:$G$300,$P16,Data!$D$8:$D$300,U$12,Data!$C$8:$C$300,$Q$9,Data!$E$8:$E$300,U$13)</f>
        <v>0</v>
      </c>
      <c r="V16" s="122">
        <f>SUMIFS(Data!$M$8:$M$300,Data!$G$8:$G$300,$P16,Data!$D$8:$D$300,V$12,Data!$C$8:$C$300,$Q$9,Data!$E$8:$E$300,V$13)</f>
        <v>0</v>
      </c>
      <c r="W16" s="122">
        <f>SUMIFS(Data!$M$8:$M$300,Data!$G$8:$G$300,$P16,Data!$D$8:$D$300,W$12,Data!$C$8:$C$300,$Q$9,Data!$E$8:$E$300,W$13)</f>
        <v>0</v>
      </c>
      <c r="X16" s="122">
        <f>SUMIFS(Data!$M$8:$M$300,Data!$G$8:$G$300,$P16,Data!$D$8:$D$300,X$12,Data!$C$8:$C$300,$Q$9,Data!$E$8:$E$300,X$13)</f>
        <v>0</v>
      </c>
      <c r="Y16" s="122">
        <f>SUMIFS(Data!$M$8:$M$300,Data!$G$8:$G$300,$P16,Data!$D$8:$D$300,Y$12,Data!$C$8:$C$300,$Q$9,Data!$E$8:$E$300,Y$13)</f>
        <v>0</v>
      </c>
      <c r="Z16" s="122">
        <f>SUMIFS(Data!$M$8:$M$300,Data!$G$8:$G$300,$P16,Data!$D$8:$D$300,Z$12,Data!$C$8:$C$300,$Q$9,Data!$E$8:$E$300,Z$13)</f>
        <v>0</v>
      </c>
      <c r="AA16" s="123">
        <f>SUMIFS(Data!$M$8:$M$300,Data!$G$8:$G$300,$P16,Data!$D$8:$D$300,AA$12,Data!$C$8:$C$300,$Q$9,Data!$E$8:$E$300,AA$13)</f>
        <v>0</v>
      </c>
      <c r="AD16" s="86" t="s">
        <v>82</v>
      </c>
      <c r="AE16" s="120">
        <f>SUMIFS(Data!$M$8:$M$300,Data!$G$8:$G$300,$AD16,Data!$D$8:$D$300,AE$12,Data!$B$8:$B$300,$AE$9,Data!$E$8:$E$300,AE$13)</f>
        <v>81.201903999999999</v>
      </c>
      <c r="AF16" s="120">
        <f>SUMIFS(Data!$M$8:$M$300,Data!$G$8:$G$300,$AD16,Data!$D$8:$D$300,AF$12,Data!$B$8:$B$300,$AE$9,Data!$E$8:$E$300,AF$13)</f>
        <v>6.6983040000000003</v>
      </c>
      <c r="AG16" s="120">
        <f>SUMIFS(Data!$M$8:$M$300,Data!$G$8:$G$300,$AD16,Data!$D$8:$D$300,AG$12,Data!$B$8:$B$300,$AE$9,Data!$E$8:$E$300,AG$13)</f>
        <v>80.830656000000005</v>
      </c>
      <c r="AH16" s="120">
        <f>SUMIFS(Data!$M$8:$M$300,Data!$G$8:$G$300,$AD16,Data!$D$8:$D$300,AH$12,Data!$B$8:$B$300,$AE$9,Data!$E$8:$E$300,AH$13)</f>
        <v>0</v>
      </c>
      <c r="AI16" s="120">
        <f>SUMIFS(Data!$M$8:$M$300,Data!$G$8:$G$300,$AD16,Data!$D$8:$D$300,AI$12,Data!$B$8:$B$300,$AE$9,Data!$E$8:$E$300,AI$13)</f>
        <v>0</v>
      </c>
      <c r="AJ16" s="120">
        <f>SUMIFS(Data!$M$8:$M$300,Data!$G$8:$G$300,$AD16,Data!$D$8:$D$300,AJ$12,Data!$B$8:$B$300,$AE$9,Data!$E$8:$E$300,AJ$13)</f>
        <v>0</v>
      </c>
      <c r="AK16" s="120">
        <f>SUMIFS(Data!$M$8:$M$300,Data!$G$8:$G$300,$AD16,Data!$D$8:$D$300,AK$12,Data!$B$8:$B$300,$AE$9,Data!$E$8:$E$300,AK$13)</f>
        <v>0</v>
      </c>
      <c r="AL16" s="120">
        <f>SUMIFS(Data!$M$8:$M$300,Data!$G$8:$G$300,$AD16,Data!$D$8:$D$300,AL$12,Data!$B$8:$B$300,$AE$9,Data!$E$8:$E$300,AL$13)</f>
        <v>0</v>
      </c>
      <c r="AM16" s="120">
        <f>SUMIFS(Data!$M$8:$M$300,Data!$G$8:$G$300,$AD16,Data!$D$8:$D$300,AM$12,Data!$B$8:$B$300,$AE$9,Data!$E$8:$E$300,AM$13)</f>
        <v>0</v>
      </c>
    </row>
    <row r="17" spans="1:39" ht="18" thickTop="1" thickBot="1" x14ac:dyDescent="0.25">
      <c r="A17" s="11"/>
      <c r="B17" s="177" t="s">
        <v>92</v>
      </c>
      <c r="C17" s="124">
        <f>SUMIFS(Data!$M$8:$M$300,Data!$G$8:$G$300,$B17,Data!$D$8:$D$300,C$12,Data!$E$8:$E$300,C$13)</f>
        <v>0</v>
      </c>
      <c r="D17" s="124">
        <f>SUMIFS(Data!$M$8:$M$300,Data!$G$8:$G$300,$B17,Data!$D$8:$D$300,D$12,Data!$E$8:$E$300,D$13)</f>
        <v>6.63</v>
      </c>
      <c r="E17" s="124">
        <f>SUMIFS(Data!$M$8:$M$300,Data!$G$8:$G$300,$B17,Data!$D$8:$D$300,E$12,Data!$E$8:$E$300,E$13)</f>
        <v>0</v>
      </c>
      <c r="F17" s="124">
        <f>SUMIFS(Data!$M$8:$M$300,Data!$G$8:$G$300,$B17,Data!$D$8:$D$300,F$12,Data!$E$8:$E$300,F$13)</f>
        <v>0</v>
      </c>
      <c r="G17" s="124">
        <f>SUMIFS(Data!$M$8:$M$300,Data!$G$8:$G$300,$B17,Data!$D$8:$D$300,G$12,Data!$E$8:$E$300,G$13)</f>
        <v>0</v>
      </c>
      <c r="H17" s="124">
        <f>SUMIFS(Data!$M$8:$M$300,Data!$G$8:$G$300,$B17,Data!$D$8:$D$300,H$12,Data!$E$8:$E$300,H$13)</f>
        <v>0</v>
      </c>
      <c r="I17" s="124">
        <f>SUMIFS(Data!$M$8:$M$300,Data!$G$8:$G$300,$B17,Data!$D$8:$D$300,I$12,Data!$E$8:$E$300,I$13)</f>
        <v>0</v>
      </c>
      <c r="J17" s="124">
        <f>SUMIFS(Data!$M$8:$M$300,Data!$G$8:$G$300,$B17,Data!$D$8:$D$300,J$12,Data!$E$8:$E$300,J$13)</f>
        <v>0</v>
      </c>
      <c r="K17" s="124">
        <f>SUMIFS(Data!$M$8:$M$300,Data!$G$8:$G$300,$B17,Data!$D$8:$D$300,K$12,Data!$E$8:$E$300,K$13)</f>
        <v>0</v>
      </c>
      <c r="L17" s="124">
        <f>SUMIFS(Data!$M$8:$M$300,Data!$G$8:$G$300,$B17,Data!$D$8:$D$300,L$12,Data!$E$8:$E$300,L$13)</f>
        <v>0</v>
      </c>
      <c r="M17" s="125">
        <f>SUMIFS(Data!$M$8:$M$300,Data!$G$8:$G$300,$B17,Data!$D$8:$D$300,M$12,Data!$E$8:$E$300,M$13)</f>
        <v>0</v>
      </c>
      <c r="O17" s="11"/>
      <c r="P17" s="177" t="s">
        <v>92</v>
      </c>
      <c r="Q17" s="124">
        <f>SUMIFS(Data!$M$8:$M$300,Data!$G$8:$G$300,$P17,Data!$D$8:$D$300,Q$12,Data!$C$8:$C$300,$Q$9,Data!$E$8:$E$300,Q$13)</f>
        <v>0</v>
      </c>
      <c r="R17" s="124">
        <f>SUMIFS(Data!$M$8:$M$300,Data!$G$8:$G$300,$P17,Data!$D$8:$D$300,R$12,Data!$C$8:$C$300,$Q$9,Data!$E$8:$E$300,R$13)</f>
        <v>6.63</v>
      </c>
      <c r="S17" s="124">
        <f>SUMIFS(Data!$M$8:$M$300,Data!$G$8:$G$300,$P17,Data!$D$8:$D$300,S$12,Data!$C$8:$C$300,$Q$9,Data!$E$8:$E$300,S$13)</f>
        <v>0</v>
      </c>
      <c r="T17" s="124">
        <f>SUMIFS(Data!$M$8:$M$300,Data!$G$8:$G$300,$P17,Data!$D$8:$D$300,T$12,Data!$C$8:$C$300,$Q$9,Data!$E$8:$E$300,T$13)</f>
        <v>0</v>
      </c>
      <c r="U17" s="124">
        <f>SUMIFS(Data!$M$8:$M$300,Data!$G$8:$G$300,$P17,Data!$D$8:$D$300,U$12,Data!$C$8:$C$300,$Q$9,Data!$E$8:$E$300,U$13)</f>
        <v>0</v>
      </c>
      <c r="V17" s="124">
        <f>SUMIFS(Data!$M$8:$M$300,Data!$G$8:$G$300,$P17,Data!$D$8:$D$300,V$12,Data!$C$8:$C$300,$Q$9,Data!$E$8:$E$300,V$13)</f>
        <v>0</v>
      </c>
      <c r="W17" s="124">
        <f>SUMIFS(Data!$M$8:$M$300,Data!$G$8:$G$300,$P17,Data!$D$8:$D$300,W$12,Data!$C$8:$C$300,$Q$9,Data!$E$8:$E$300,W$13)</f>
        <v>0</v>
      </c>
      <c r="X17" s="216"/>
      <c r="Y17" s="216"/>
      <c r="Z17" s="216"/>
      <c r="AA17" s="217"/>
      <c r="AD17" s="177" t="s">
        <v>92</v>
      </c>
      <c r="AE17" s="120">
        <f>SUMIFS(Data!$M$8:$M$300,Data!$G$8:$G$300,$AD17,Data!$D$8:$D$300,AE$12,Data!$B$8:$B$300,$AE$9,Data!$E$8:$E$300,AE$13)</f>
        <v>0</v>
      </c>
      <c r="AF17" s="120">
        <f>SUMIFS(Data!$M$8:$M$300,Data!$G$8:$G$300,$AD17,Data!$D$8:$D$300,AF$12,Data!$B$8:$B$300,$AE$9,Data!$E$8:$E$300,AF$13)</f>
        <v>6.63</v>
      </c>
      <c r="AG17" s="120">
        <f>SUMIFS(Data!$M$8:$M$300,Data!$G$8:$G$300,$AD17,Data!$D$8:$D$300,AG$12,Data!$B$8:$B$300,$AE$9,Data!$E$8:$E$300,AG$13)</f>
        <v>0</v>
      </c>
      <c r="AH17" s="120">
        <f>SUMIFS(Data!$M$8:$M$300,Data!$G$8:$G$300,$AD17,Data!$D$8:$D$300,AH$12,Data!$B$8:$B$300,$AE$9,Data!$E$8:$E$300,AH$13)</f>
        <v>0</v>
      </c>
      <c r="AI17" s="120">
        <f>SUMIFS(Data!$M$8:$M$300,Data!$G$8:$G$300,$AD17,Data!$D$8:$D$300,AI$12,Data!$B$8:$B$300,$AE$9,Data!$E$8:$E$300,AI$13)</f>
        <v>0</v>
      </c>
      <c r="AJ17" s="120">
        <f>SUMIFS(Data!$M$8:$M$300,Data!$G$8:$G$300,$AD17,Data!$D$8:$D$300,AJ$12,Data!$B$8:$B$300,$AE$9,Data!$E$8:$E$300,AJ$13)</f>
        <v>0</v>
      </c>
      <c r="AK17" s="120">
        <f>SUMIFS(Data!$M$8:$M$300,Data!$G$8:$G$300,$AD17,Data!$D$8:$D$300,AK$12,Data!$B$8:$B$300,$AE$9,Data!$E$8:$E$300,AK$13)</f>
        <v>0</v>
      </c>
      <c r="AL17" s="120">
        <f>SUMIFS(Data!$M$8:$M$300,Data!$G$8:$G$300,$AD17,Data!$D$8:$D$300,AL$12,Data!$B$8:$B$300,$AE$9,Data!$E$8:$E$300,AL$13)</f>
        <v>0</v>
      </c>
      <c r="AM17" s="120">
        <f>SUMIFS(Data!$M$8:$M$300,Data!$G$8:$G$300,$AD17,Data!$D$8:$D$300,AM$12,Data!$B$8:$B$300,$AE$9,Data!$E$8:$E$300,AM$13)</f>
        <v>0</v>
      </c>
    </row>
    <row r="18" spans="1:39" ht="15.75" customHeight="1" thickTop="1" thickBot="1" x14ac:dyDescent="0.25">
      <c r="A18" s="12"/>
      <c r="B18" s="117" t="s">
        <v>50</v>
      </c>
      <c r="C18" s="118">
        <f t="shared" ref="C18:I18" si="9">SUM(C14:C17)</f>
        <v>1973.8563954760004</v>
      </c>
      <c r="D18" s="118">
        <f t="shared" si="9"/>
        <v>3137.572015532</v>
      </c>
      <c r="E18" s="118">
        <f t="shared" si="9"/>
        <v>4170.6249079600002</v>
      </c>
      <c r="F18" s="118">
        <f t="shared" si="9"/>
        <v>0</v>
      </c>
      <c r="G18" s="118">
        <f t="shared" si="9"/>
        <v>0</v>
      </c>
      <c r="H18" s="118">
        <f t="shared" si="9"/>
        <v>0</v>
      </c>
      <c r="I18" s="118">
        <f t="shared" si="9"/>
        <v>0</v>
      </c>
      <c r="J18" s="118">
        <f>SUM(J14:J16)</f>
        <v>0</v>
      </c>
      <c r="K18" s="118">
        <f>SUM(K14:K16)</f>
        <v>0</v>
      </c>
      <c r="L18" s="118">
        <f>SUM(L14:L16)</f>
        <v>0</v>
      </c>
      <c r="M18" s="119">
        <f>SUM(M14:M16)</f>
        <v>0</v>
      </c>
      <c r="O18" s="12"/>
      <c r="P18" s="117" t="s">
        <v>50</v>
      </c>
      <c r="Q18" s="118">
        <f t="shared" ref="Q18:W18" si="10">SUM(Q14:Q17)</f>
        <v>1441.11366</v>
      </c>
      <c r="R18" s="118">
        <f t="shared" si="10"/>
        <v>2702.7998880000005</v>
      </c>
      <c r="S18" s="118">
        <f t="shared" si="10"/>
        <v>3663.7825359999997</v>
      </c>
      <c r="T18" s="118">
        <f t="shared" si="10"/>
        <v>0</v>
      </c>
      <c r="U18" s="118">
        <f t="shared" si="10"/>
        <v>0</v>
      </c>
      <c r="V18" s="118">
        <f t="shared" si="10"/>
        <v>0</v>
      </c>
      <c r="W18" s="118">
        <f t="shared" si="10"/>
        <v>0</v>
      </c>
      <c r="X18" s="118">
        <f>SUM(X14:X16)</f>
        <v>0</v>
      </c>
      <c r="Y18" s="118">
        <f>SUM(Y14:Y16)</f>
        <v>0</v>
      </c>
      <c r="Z18" s="118">
        <f>SUM(Z14:Z16)</f>
        <v>0</v>
      </c>
      <c r="AA18" s="119">
        <f>SUM(AA14:AA16)</f>
        <v>0</v>
      </c>
      <c r="AD18" s="117" t="s">
        <v>50</v>
      </c>
      <c r="AE18" s="118">
        <f t="shared" ref="AE18:AK18" si="11">SUM(AE14:AE17)</f>
        <v>1800.7857370000002</v>
      </c>
      <c r="AF18" s="118">
        <f t="shared" si="11"/>
        <v>2947.1922080000004</v>
      </c>
      <c r="AG18" s="118">
        <f t="shared" si="11"/>
        <v>4015.4831199999999</v>
      </c>
      <c r="AH18" s="118">
        <f t="shared" si="11"/>
        <v>0</v>
      </c>
      <c r="AI18" s="118">
        <f t="shared" si="11"/>
        <v>0</v>
      </c>
      <c r="AJ18" s="118">
        <f t="shared" si="11"/>
        <v>0</v>
      </c>
      <c r="AK18" s="118">
        <f t="shared" si="11"/>
        <v>0</v>
      </c>
      <c r="AL18" s="118">
        <f>SUM(AL14:AL16)</f>
        <v>0</v>
      </c>
      <c r="AM18" s="118">
        <f>SUM(AM14:AM16)</f>
        <v>0</v>
      </c>
    </row>
    <row r="19" spans="1:39" ht="15.75" customHeight="1" thickTop="1" thickBot="1" x14ac:dyDescent="0.25">
      <c r="A19" s="5"/>
      <c r="B19" s="310" t="s">
        <v>42</v>
      </c>
      <c r="C19" s="311"/>
      <c r="D19" s="311"/>
      <c r="E19" s="311"/>
      <c r="F19" s="311"/>
      <c r="G19" s="311"/>
      <c r="H19" s="311"/>
      <c r="I19" s="311"/>
      <c r="J19" s="113"/>
      <c r="K19" s="113"/>
      <c r="L19" s="113"/>
      <c r="M19" s="114"/>
      <c r="O19" s="12"/>
      <c r="P19" s="310" t="s">
        <v>42</v>
      </c>
      <c r="Q19" s="311"/>
      <c r="R19" s="311"/>
      <c r="S19" s="311"/>
      <c r="T19" s="311"/>
      <c r="U19" s="311"/>
      <c r="V19" s="311"/>
      <c r="W19" s="311"/>
      <c r="X19" s="113"/>
      <c r="Y19" s="113"/>
      <c r="Z19" s="113"/>
      <c r="AA19" s="114"/>
      <c r="AD19" s="310" t="s">
        <v>42</v>
      </c>
      <c r="AE19" s="311"/>
      <c r="AF19" s="311"/>
      <c r="AG19" s="311"/>
      <c r="AH19" s="311"/>
      <c r="AI19" s="311"/>
      <c r="AJ19" s="311"/>
      <c r="AK19" s="311"/>
      <c r="AL19" s="311"/>
      <c r="AM19" s="311"/>
    </row>
    <row r="20" spans="1:39" ht="15.75" customHeight="1" thickTop="1" thickBot="1" x14ac:dyDescent="0.25">
      <c r="A20" s="5"/>
      <c r="B20" s="101" t="s">
        <v>29</v>
      </c>
      <c r="C20" s="122">
        <f>SUMIFS(Data!$M$8:$M$300,Data!$G$8:$G$300,$B20,Data!$D$8:$D$300,C$12,Data!$E$8:$E$300,C$13)</f>
        <v>21958.278586705997</v>
      </c>
      <c r="D20" s="122">
        <f>SUMIFS(Data!$M$8:$M$300,Data!$G$8:$G$300,$B20,Data!$D$8:$D$300,D$12,Data!$E$8:$E$300,D$13)</f>
        <v>25545.847421663999</v>
      </c>
      <c r="E20" s="122">
        <f>SUMIFS(Data!$M$8:$M$300,Data!$G$8:$G$300,$B20,Data!$D$8:$D$300,E$12,Data!$E$8:$E$300,E$13)</f>
        <v>40.356034575999992</v>
      </c>
      <c r="F20" s="122">
        <f>SUMIFS(Data!$M$8:$M$300,Data!$G$8:$G$300,$B20,Data!$D$8:$D$300,F$12,Data!$E$8:$E$300,F$13)</f>
        <v>0</v>
      </c>
      <c r="G20" s="122">
        <f>SUMIFS(Data!$M$8:$M$300,Data!$G$8:$G$300,$B20,Data!$D$8:$D$300,G$12,Data!$E$8:$E$300,G$13)</f>
        <v>0</v>
      </c>
      <c r="H20" s="122">
        <f>SUMIFS(Data!$M$8:$M$300,Data!$G$8:$G$300,$B20,Data!$D$8:$D$300,H$12,Data!$E$8:$E$300,H$13)</f>
        <v>0</v>
      </c>
      <c r="I20" s="122">
        <f>SUMIFS(Data!$M$8:$M$300,Data!$G$8:$G$300,$B20,Data!$D$8:$D$300,I$12,Data!$E$8:$E$300,I$13)</f>
        <v>0</v>
      </c>
      <c r="J20" s="122">
        <f>SUMIFS(Data!$M$8:$M$300,Data!$G$8:$G$300,$B20,Data!$D$8:$D$300,J$12,Data!$E$8:$E$300,J$13)</f>
        <v>0</v>
      </c>
      <c r="K20" s="122">
        <f>SUMIFS(Data!$M$8:$M$300,Data!$G$8:$G$300,$B20,Data!$D$8:$D$300,K$12,Data!$E$8:$E$300,K$13)</f>
        <v>0</v>
      </c>
      <c r="L20" s="122">
        <f>SUMIFS(Data!$M$8:$M$300,Data!$G$8:$G$300,$B20,Data!$D$8:$D$300,L$12,Data!$E$8:$E$300,L$13)</f>
        <v>0</v>
      </c>
      <c r="M20" s="123">
        <f>SUMIFS(Data!$M$8:$M$300,Data!$G$8:$G$300,$B20,Data!$D$8:$D$300,M$12,Data!$E$8:$E$300,M$13)</f>
        <v>0</v>
      </c>
      <c r="N20" s="321"/>
      <c r="O20" s="12"/>
      <c r="P20" s="101" t="s">
        <v>29</v>
      </c>
      <c r="Q20" s="122">
        <f>SUMIFS(Data!$M$8:$M$300,Data!$G$8:$G$300,$P20,Data!$D$8:$D$300,Q$12,Data!$C$8:$C$300,$Q$9,Data!$E$8:$E$300,Q$13)</f>
        <v>21898.162109999997</v>
      </c>
      <c r="R20" s="122">
        <f>SUMIFS(Data!$M$8:$M$300,Data!$G$8:$G$300,$P20,Data!$D$8:$D$300,R$12,Data!$C$8:$C$300,$Q$9,Data!$E$8:$E$300,R$13)</f>
        <v>25498.841656000001</v>
      </c>
      <c r="S20" s="122">
        <f>SUMIFS(Data!$M$8:$M$300,Data!$G$8:$G$300,$P20,Data!$D$8:$D$300,S$12,Data!$C$8:$C$300,$Q$9,Data!$E$8:$E$300,S$13)</f>
        <v>0</v>
      </c>
      <c r="T20" s="122">
        <f>SUMIFS(Data!$M$8:$M$300,Data!$G$8:$G$300,$P20,Data!$D$8:$D$300,T$12,Data!$C$8:$C$300,$Q$9,Data!$E$8:$E$300,T$13)</f>
        <v>0</v>
      </c>
      <c r="U20" s="122">
        <f>SUMIFS(Data!$M$8:$M$300,Data!$G$8:$G$300,$P20,Data!$D$8:$D$300,U$12,Data!$C$8:$C$300,$Q$9,Data!$E$8:$E$300,U$13)</f>
        <v>0</v>
      </c>
      <c r="V20" s="122">
        <f>SUMIFS(Data!$M$8:$M$300,Data!$G$8:$G$300,$P20,Data!$D$8:$D$300,V$12,Data!$C$8:$C$300,$Q$9,Data!$E$8:$E$300,V$13)</f>
        <v>0</v>
      </c>
      <c r="W20" s="122">
        <f>SUMIFS(Data!$M$8:$M$300,Data!$G$8:$G$300,$P20,Data!$D$8:$D$300,W$12,Data!$C$8:$C$300,$Q$9,Data!$E$8:$E$300,W$13)</f>
        <v>0</v>
      </c>
      <c r="X20" s="122">
        <f>SUMIFS(Data!$M$8:$M$300,Data!$G$8:$G$300,$P20,Data!$D$8:$D$300,X$12,Data!$C$8:$C$300,$Q$9,Data!$E$8:$E$300,X$13)</f>
        <v>0</v>
      </c>
      <c r="Y20" s="122">
        <f>SUMIFS(Data!$M$8:$M$300,Data!$G$8:$G$300,$P20,Data!$D$8:$D$300,Y$12,Data!$C$8:$C$300,$Q$9,Data!$E$8:$E$300,Y$13)</f>
        <v>0</v>
      </c>
      <c r="Z20" s="122">
        <f>SUMIFS(Data!$M$8:$M$300,Data!$G$8:$G$300,$P20,Data!$D$8:$D$300,Z$12,Data!$C$8:$C$300,$Q$9,Data!$E$8:$E$300,Z$13)</f>
        <v>0</v>
      </c>
      <c r="AA20" s="123">
        <f>SUMIFS(Data!$M$8:$M$300,Data!$G$8:$G$300,$P20,Data!$D$8:$D$300,AA$12,Data!$C$8:$C$300,$Q$9,Data!$E$8:$E$300,AA$13)</f>
        <v>0</v>
      </c>
      <c r="AD20" s="101" t="s">
        <v>29</v>
      </c>
      <c r="AE20" s="120">
        <f>SUMIFS(Data!$M$8:$M$300,Data!$G$8:$G$300,$AD20,Data!$D$8:$D$300,AE$12,Data!$B$8:$B$300,$AE$9,Data!$E$8:$E$300,AE$13)</f>
        <v>21898.162109999997</v>
      </c>
      <c r="AF20" s="120">
        <f>SUMIFS(Data!$M$8:$M$300,Data!$G$8:$G$300,$AD20,Data!$D$8:$D$300,AF$12,Data!$B$8:$B$300,$AE$9,Data!$E$8:$E$300,AF$13)</f>
        <v>25498.841656000001</v>
      </c>
      <c r="AG20" s="120">
        <f>SUMIFS(Data!$M$8:$M$300,Data!$G$8:$G$300,$AD20,Data!$D$8:$D$300,AG$12,Data!$B$8:$B$300,$AE$9,Data!$E$8:$E$300,AG$13)</f>
        <v>0</v>
      </c>
      <c r="AH20" s="120">
        <f>SUMIFS(Data!$M$8:$M$300,Data!$G$8:$G$300,$AD20,Data!$D$8:$D$300,AH$12,Data!$B$8:$B$300,$AE$9,Data!$E$8:$E$300,AH$13)</f>
        <v>0</v>
      </c>
      <c r="AI20" s="120">
        <f>SUMIFS(Data!$M$8:$M$300,Data!$G$8:$G$300,$AD20,Data!$D$8:$D$300,AI$12,Data!$B$8:$B$300,$AE$9,Data!$E$8:$E$300,AI$13)</f>
        <v>0</v>
      </c>
      <c r="AJ20" s="120">
        <f>SUMIFS(Data!$M$8:$M$300,Data!$G$8:$G$300,$AD20,Data!$D$8:$D$300,AJ$12,Data!$B$8:$B$300,$AE$9,Data!$E$8:$E$300,AJ$13)</f>
        <v>0</v>
      </c>
      <c r="AK20" s="120">
        <f>SUMIFS(Data!$M$8:$M$300,Data!$G$8:$G$300,$AD20,Data!$D$8:$D$300,AK$12,Data!$B$8:$B$300,$AE$9,Data!$E$8:$E$300,AK$13)</f>
        <v>0</v>
      </c>
      <c r="AL20" s="120">
        <f>SUMIFS(Data!$M$8:$M$300,Data!$G$8:$G$300,$AD20,Data!$D$8:$D$300,AL$12,Data!$B$8:$B$300,$AE$9,Data!$E$8:$E$300,AL$13)</f>
        <v>0</v>
      </c>
      <c r="AM20" s="120">
        <f>SUMIFS(Data!$M$8:$M$300,Data!$G$8:$G$300,$AD20,Data!$D$8:$D$300,AM$12,Data!$B$8:$B$300,$AE$9,Data!$E$8:$E$300,AM$13)</f>
        <v>0</v>
      </c>
    </row>
    <row r="21" spans="1:39" ht="15.75" customHeight="1" thickTop="1" thickBot="1" x14ac:dyDescent="0.25">
      <c r="A21" s="12"/>
      <c r="B21" s="102" t="s">
        <v>28</v>
      </c>
      <c r="C21" s="124">
        <f>SUMIFS(Data!$M$8:$M$300,Data!$G$8:$G$300,$B21,Data!$D$8:$D$300,C$12,Data!$E$8:$E$300,C$13)</f>
        <v>0</v>
      </c>
      <c r="D21" s="124">
        <f>SUMIFS(Data!$M$8:$M$300,Data!$G$8:$G$300,$B21,Data!$D$8:$D$300,D$12,Data!$E$8:$E$300,D$13)</f>
        <v>0</v>
      </c>
      <c r="E21" s="124">
        <f>SUMIFS(Data!$M$8:$M$300,Data!$G$8:$G$300,$B21,Data!$D$8:$D$300,E$12,Data!$E$8:$E$300,E$13)</f>
        <v>0</v>
      </c>
      <c r="F21" s="124">
        <f>SUMIFS(Data!$M$8:$M$300,Data!$G$8:$G$300,$B21,Data!$D$8:$D$300,F$12,Data!$E$8:$E$300,F$13)</f>
        <v>0</v>
      </c>
      <c r="G21" s="124">
        <f>SUMIFS(Data!$M$8:$M$300,Data!$G$8:$G$300,$B21,Data!$D$8:$D$300,G$12,Data!$E$8:$E$300,G$13)</f>
        <v>0</v>
      </c>
      <c r="H21" s="124">
        <f>SUMIFS(Data!$M$8:$M$300,Data!$G$8:$G$300,$B21,Data!$D$8:$D$300,H$12,Data!$E$8:$E$300,H$13)</f>
        <v>0</v>
      </c>
      <c r="I21" s="124">
        <f>SUMIFS(Data!$M$8:$M$300,Data!$G$8:$G$300,$B21,Data!$D$8:$D$300,I$12,Data!$E$8:$E$300,I$13)</f>
        <v>0</v>
      </c>
      <c r="J21" s="124"/>
      <c r="K21" s="124"/>
      <c r="L21" s="124"/>
      <c r="M21" s="125"/>
      <c r="O21" s="12"/>
      <c r="P21" s="102" t="s">
        <v>28</v>
      </c>
      <c r="Q21" s="124">
        <f>SUMIFS(Data!$M$8:$M$300,Data!$G$8:$G$300,$P21,Data!$D$8:$D$300,Q$12,Data!$C$8:$C$300,$Q$9,Data!$E$8:$E$300,Q$13)</f>
        <v>0</v>
      </c>
      <c r="R21" s="124">
        <f>SUMIFS(Data!$M$8:$M$300,Data!$G$8:$G$300,$P21,Data!$D$8:$D$300,R$12,Data!$C$8:$C$300,$Q$9,Data!$E$8:$E$300,R$13)</f>
        <v>0</v>
      </c>
      <c r="S21" s="124">
        <f>SUMIFS(Data!$M$8:$M$300,Data!$G$8:$G$300,$P21,Data!$D$8:$D$300,S$12,Data!$C$8:$C$300,$Q$9,Data!$E$8:$E$300,S$13)</f>
        <v>0</v>
      </c>
      <c r="T21" s="124">
        <f>SUMIFS(Data!$M$8:$M$300,Data!$G$8:$G$300,$P21,Data!$D$8:$D$300,T$12,Data!$C$8:$C$300,$Q$9,Data!$E$8:$E$300,T$13)</f>
        <v>0</v>
      </c>
      <c r="U21" s="124">
        <f>SUMIFS(Data!$M$8:$M$300,Data!$G$8:$G$300,$P21,Data!$D$8:$D$300,U$12,Data!$C$8:$C$300,$Q$9,Data!$E$8:$E$300,U$13)</f>
        <v>0</v>
      </c>
      <c r="V21" s="124">
        <f>SUMIFS(Data!$M$8:$M$300,Data!$G$8:$G$300,$P21,Data!$D$8:$D$300,V$12,Data!$C$8:$C$300,$Q$9,Data!$E$8:$E$300,V$13)</f>
        <v>0</v>
      </c>
      <c r="W21" s="124">
        <f>SUMIFS(Data!$M$8:$M$300,Data!$G$8:$G$300,$P21,Data!$D$8:$D$300,W$12,Data!$C$8:$C$300,$Q$9,Data!$E$8:$E$300,W$13)</f>
        <v>0</v>
      </c>
      <c r="X21" s="124">
        <f>SUMIFS(Data!$M$8:$M$300,Data!$G$8:$G$300,$P21,Data!$D$8:$D$300,X$12,Data!$C$8:$C$300,$Q$9,Data!$E$8:$E$300,X$13)</f>
        <v>0</v>
      </c>
      <c r="Y21" s="124">
        <f>SUMIFS(Data!$M$8:$M$300,Data!$G$8:$G$300,$P21,Data!$D$8:$D$300,Y$12,Data!$C$8:$C$300,$Q$9,Data!$E$8:$E$300,Y$13)</f>
        <v>0</v>
      </c>
      <c r="Z21" s="124">
        <f>SUMIFS(Data!$M$8:$M$300,Data!$G$8:$G$300,$P21,Data!$D$8:$D$300,Z$12,Data!$C$8:$C$300,$Q$9,Data!$E$8:$E$300,Z$13)</f>
        <v>0</v>
      </c>
      <c r="AA21" s="125">
        <f>SUMIFS(Data!$M$8:$M$300,Data!$G$8:$G$300,$P21,Data!$D$8:$D$300,AA$12,Data!$C$8:$C$300,$Q$9,Data!$E$8:$E$300,AA$13)</f>
        <v>0</v>
      </c>
      <c r="AD21" s="102" t="s">
        <v>28</v>
      </c>
      <c r="AE21" s="120">
        <f>SUMIFS(Data!$M$8:$M$300,Data!$G$8:$G$300,$AD21,Data!$D$8:$D$300,AE$12,Data!$B$8:$B$300,$AE$9,Data!$E$8:$E$300,AE$13)</f>
        <v>0</v>
      </c>
      <c r="AF21" s="120">
        <f>SUMIFS(Data!$M$8:$M$300,Data!$G$8:$G$300,$AD21,Data!$D$8:$D$300,AF$12,Data!$B$8:$B$300,$AE$9,Data!$E$8:$E$300,AF$13)</f>
        <v>0</v>
      </c>
      <c r="AG21" s="120">
        <f>SUMIFS(Data!$M$8:$M$300,Data!$G$8:$G$300,$AD21,Data!$D$8:$D$300,AG$12,Data!$B$8:$B$300,$AE$9,Data!$E$8:$E$300,AG$13)</f>
        <v>0</v>
      </c>
      <c r="AH21" s="120">
        <f>SUMIFS(Data!$M$8:$M$300,Data!$G$8:$G$300,$AD21,Data!$D$8:$D$300,AH$12,Data!$B$8:$B$300,$AE$9,Data!$E$8:$E$300,AH$13)</f>
        <v>0</v>
      </c>
      <c r="AI21" s="120">
        <f>SUMIFS(Data!$M$8:$M$300,Data!$G$8:$G$300,$AD21,Data!$D$8:$D$300,AI$12,Data!$B$8:$B$300,$AE$9,Data!$E$8:$E$300,AI$13)</f>
        <v>0</v>
      </c>
      <c r="AJ21" s="120">
        <f>SUMIFS(Data!$M$8:$M$300,Data!$G$8:$G$300,$AD21,Data!$D$8:$D$300,AJ$12,Data!$B$8:$B$300,$AE$9,Data!$E$8:$E$300,AJ$13)</f>
        <v>0</v>
      </c>
      <c r="AK21" s="120">
        <f>SUMIFS(Data!$M$8:$M$300,Data!$G$8:$G$300,$AD21,Data!$D$8:$D$300,AK$12,Data!$B$8:$B$300,$AE$9,Data!$E$8:$E$300,AK$13)</f>
        <v>0</v>
      </c>
      <c r="AL21" s="120">
        <f>SUMIFS(Data!$M$8:$M$300,Data!$G$8:$G$300,$AD21,Data!$D$8:$D$300,AL$12,Data!$B$8:$B$300,$AE$9,Data!$E$8:$E$300,AL$13)</f>
        <v>0</v>
      </c>
      <c r="AM21" s="120">
        <f>SUMIFS(Data!$M$8:$M$300,Data!$G$8:$G$300,$AD21,Data!$D$8:$D$300,AM$12,Data!$B$8:$B$300,$AE$9,Data!$E$8:$E$300,AM$13)</f>
        <v>0</v>
      </c>
    </row>
    <row r="22" spans="1:39" ht="15.75" customHeight="1" thickTop="1" thickBot="1" x14ac:dyDescent="0.25">
      <c r="A22" s="12"/>
      <c r="B22" s="102" t="s">
        <v>97</v>
      </c>
      <c r="C22" s="124">
        <f>SUMIFS(Data!$M$8:$M$300,Data!$G$8:$G$300,$B22,Data!$D$8:$D$300,C$12,Data!$E$8:$E$300,C$13)</f>
        <v>0.101235563</v>
      </c>
      <c r="D22" s="124">
        <f>SUMIFS(Data!$M$8:$M$300,Data!$G$8:$G$300,$B22,Data!$D$8:$D$300,D$12,Data!$E$8:$E$300,D$13)</f>
        <v>0.33557769199999998</v>
      </c>
      <c r="E22" s="124">
        <f>SUMIFS(Data!$M$8:$M$300,Data!$G$8:$G$300,$B22,Data!$D$8:$D$300,E$12,Data!$E$8:$E$300,E$13)</f>
        <v>0.44997135600000004</v>
      </c>
      <c r="F22" s="124">
        <f>SUMIFS(Data!$M$8:$M$300,Data!$G$8:$G$300,$B22,Data!$D$8:$D$300,F$12,Data!$E$8:$E$300,F$13)</f>
        <v>0</v>
      </c>
      <c r="G22" s="124">
        <f>SUMIFS(Data!$M$8:$M$300,Data!$G$8:$G$300,$B22,Data!$D$8:$D$300,G$12,Data!$E$8:$E$300,G$13)</f>
        <v>0</v>
      </c>
      <c r="H22" s="124">
        <f>SUMIFS(Data!$M$8:$M$300,Data!$G$8:$G$300,$B22,Data!$D$8:$D$300,H$12,Data!$E$8:$E$300,H$13)</f>
        <v>0</v>
      </c>
      <c r="I22" s="124">
        <f>SUMIFS(Data!$M$8:$M$300,Data!$G$8:$G$300,$B22,Data!$D$8:$D$300,I$12,Data!$E$8:$E$300,I$13)</f>
        <v>0</v>
      </c>
      <c r="J22" s="124"/>
      <c r="K22" s="124"/>
      <c r="L22" s="124"/>
      <c r="M22" s="125"/>
      <c r="O22" s="12"/>
      <c r="P22" s="102" t="s">
        <v>97</v>
      </c>
      <c r="Q22" s="124">
        <f>SUMIFS(Data!$M$8:$M$300,Data!$G$8:$G$300,$P22,Data!$D$8:$D$300,Q$12,Data!$C$8:$C$300,$Q$9,Data!$E$8:$E$300,Q$13)</f>
        <v>0</v>
      </c>
      <c r="R22" s="124">
        <f>SUMIFS(Data!$M$8:$M$300,Data!$G$8:$G$300,$P22,Data!$D$8:$D$300,R$12,Data!$C$8:$C$300,$Q$9,Data!$E$8:$E$300,R$13)</f>
        <v>0</v>
      </c>
      <c r="S22" s="124">
        <f>SUMIFS(Data!$M$8:$M$300,Data!$G$8:$G$300,$P22,Data!$D$8:$D$300,S$12,Data!$C$8:$C$300,$Q$9,Data!$E$8:$E$300,S$13)</f>
        <v>0</v>
      </c>
      <c r="T22" s="124">
        <f>SUMIFS(Data!$M$8:$M$300,Data!$G$8:$G$300,$P22,Data!$D$8:$D$300,T$12,Data!$C$8:$C$300,$Q$9,Data!$E$8:$E$300,T$13)</f>
        <v>0</v>
      </c>
      <c r="U22" s="124">
        <f>SUMIFS(Data!$M$8:$M$300,Data!$G$8:$G$300,$P22,Data!$D$8:$D$300,U$12,Data!$C$8:$C$300,$Q$9,Data!$E$8:$E$300,U$13)</f>
        <v>0</v>
      </c>
      <c r="V22" s="124">
        <f>SUMIFS(Data!$M$8:$M$300,Data!$G$8:$G$300,$P22,Data!$D$8:$D$300,V$12,Data!$C$8:$C$300,$Q$9,Data!$E$8:$E$300,V$13)</f>
        <v>0</v>
      </c>
      <c r="W22" s="124">
        <f>SUMIFS(Data!$M$8:$M$300,Data!$G$8:$G$300,$P22,Data!$D$8:$D$300,W$12,Data!$C$8:$C$300,$Q$9,Data!$E$8:$E$300,W$13)</f>
        <v>0</v>
      </c>
      <c r="X22" s="216"/>
      <c r="Y22" s="216"/>
      <c r="Z22" s="216"/>
      <c r="AA22" s="217"/>
      <c r="AD22" s="102" t="s">
        <v>97</v>
      </c>
      <c r="AE22" s="120">
        <f>SUMIFS(Data!$M$8:$M$300,Data!$G$8:$G$300,$AD22,Data!$D$8:$D$300,AE$12,Data!$B$8:$B$300,$AE$9,Data!$E$8:$E$300,AE$13)</f>
        <v>9.2807000000000001E-2</v>
      </c>
      <c r="AF22" s="120">
        <f>SUMIFS(Data!$M$8:$M$300,Data!$G$8:$G$300,$AD22,Data!$D$8:$D$300,AF$12,Data!$B$8:$B$300,$AE$9,Data!$E$8:$E$300,AF$13)</f>
        <v>0.212948</v>
      </c>
      <c r="AG22" s="120">
        <f>SUMIFS(Data!$M$8:$M$300,Data!$G$8:$G$300,$AD22,Data!$D$8:$D$300,AG$12,Data!$B$8:$B$300,$AE$9,Data!$E$8:$E$300,AG$13)</f>
        <v>0</v>
      </c>
      <c r="AH22" s="120">
        <f>SUMIFS(Data!$M$8:$M$300,Data!$G$8:$G$300,$AD22,Data!$D$8:$D$300,AH$12,Data!$B$8:$B$300,$AE$9,Data!$E$8:$E$300,AH$13)</f>
        <v>0</v>
      </c>
      <c r="AI22" s="120">
        <f>SUMIFS(Data!$M$8:$M$300,Data!$G$8:$G$300,$AD22,Data!$D$8:$D$300,AI$12,Data!$B$8:$B$300,$AE$9,Data!$E$8:$E$300,AI$13)</f>
        <v>0</v>
      </c>
      <c r="AJ22" s="120">
        <f>SUMIFS(Data!$M$8:$M$300,Data!$G$8:$G$300,$AD22,Data!$D$8:$D$300,AJ$12,Data!$B$8:$B$300,$AE$9,Data!$E$8:$E$300,AJ$13)</f>
        <v>0</v>
      </c>
      <c r="AK22" s="120">
        <f>SUMIFS(Data!$M$8:$M$300,Data!$G$8:$G$300,$AD22,Data!$D$8:$D$300,AK$12,Data!$B$8:$B$300,$AE$9,Data!$E$8:$E$300,AK$13)</f>
        <v>0</v>
      </c>
      <c r="AL22" s="120">
        <f>SUMIFS(Data!$M$8:$M$300,Data!$G$8:$G$300,$AD22,Data!$D$8:$D$300,AL$12,Data!$B$8:$B$300,$AE$9,Data!$E$8:$E$300,AL$13)</f>
        <v>0</v>
      </c>
      <c r="AM22" s="120">
        <f>SUMIFS(Data!$M$8:$M$300,Data!$G$8:$G$300,$AD22,Data!$D$8:$D$300,AM$12,Data!$B$8:$B$300,$AE$9,Data!$E$8:$E$300,AM$13)</f>
        <v>0</v>
      </c>
    </row>
    <row r="23" spans="1:39" ht="15.75" customHeight="1" thickTop="1" thickBot="1" x14ac:dyDescent="0.25">
      <c r="A23" s="12"/>
      <c r="B23" s="102" t="s">
        <v>105</v>
      </c>
      <c r="C23" s="124">
        <f>SUMIFS(Data!$M$8:$M$300,Data!$G$8:$G$300,$B23,Data!$D$8:$D$300,C$12,Data!$E$8:$E$300,C$13)</f>
        <v>0</v>
      </c>
      <c r="D23" s="124">
        <f>SUMIFS(Data!$M$8:$M$300,Data!$G$8:$G$300,$B23,Data!$D$8:$D$300,D$12,Data!$E$8:$E$300,D$13)</f>
        <v>0</v>
      </c>
      <c r="E23" s="124">
        <f>SUMIFS(Data!$M$8:$M$300,Data!$G$8:$G$300,$B23,Data!$D$8:$D$300,E$12,Data!$E$8:$E$300,E$13)</f>
        <v>0</v>
      </c>
      <c r="F23" s="124">
        <f>SUMIFS(Data!$M$8:$M$300,Data!$G$8:$G$300,$B23,Data!$D$8:$D$300,F$12,Data!$E$8:$E$300,F$13)</f>
        <v>0</v>
      </c>
      <c r="G23" s="124">
        <f>SUMIFS(Data!$M$8:$M$300,Data!$G$8:$G$300,$B23,Data!$D$8:$D$300,G$12,Data!$E$8:$E$300,G$13)</f>
        <v>0</v>
      </c>
      <c r="H23" s="124">
        <f>SUMIFS(Data!$M$8:$M$300,Data!$G$8:$G$300,$B23,Data!$D$8:$D$300,H$12,Data!$E$8:$E$300,H$13)</f>
        <v>0</v>
      </c>
      <c r="I23" s="124">
        <f>SUMIFS(Data!$M$8:$M$300,Data!$G$8:$G$300,$B23,Data!$D$8:$D$300,I$12,Data!$E$8:$E$300,I$13)</f>
        <v>0</v>
      </c>
      <c r="J23" s="124"/>
      <c r="K23" s="124"/>
      <c r="L23" s="124"/>
      <c r="M23" s="125"/>
      <c r="O23" s="12"/>
      <c r="P23" s="102" t="s">
        <v>105</v>
      </c>
      <c r="Q23" s="124">
        <f>SUMIFS(Data!$M$8:$M$300,Data!$G$8:$G$300,$P23,Data!$D$8:$D$300,Q$12,Data!$C$8:$C$300,$Q$9,Data!$E$8:$E$300,Q$13)</f>
        <v>0</v>
      </c>
      <c r="R23" s="124">
        <f>SUMIFS(Data!$M$8:$M$300,Data!$G$8:$G$300,$P23,Data!$D$8:$D$300,R$12,Data!$C$8:$C$300,$Q$9,Data!$E$8:$E$300,R$13)</f>
        <v>0</v>
      </c>
      <c r="S23" s="124">
        <f>SUMIFS(Data!$M$8:$M$300,Data!$G$8:$G$300,$P23,Data!$D$8:$D$300,S$12,Data!$C$8:$C$300,$Q$9,Data!$E$8:$E$300,S$13)</f>
        <v>0</v>
      </c>
      <c r="T23" s="124">
        <f>SUMIFS(Data!$M$8:$M$300,Data!$G$8:$G$300,$P23,Data!$D$8:$D$300,T$12,Data!$C$8:$C$300,$Q$9,Data!$E$8:$E$300,T$13)</f>
        <v>0</v>
      </c>
      <c r="U23" s="124">
        <f>SUMIFS(Data!$M$8:$M$300,Data!$G$8:$G$300,$P23,Data!$D$8:$D$300,U$12,Data!$C$8:$C$300,$Q$9,Data!$E$8:$E$300,U$13)</f>
        <v>0</v>
      </c>
      <c r="V23" s="124">
        <f>SUMIFS(Data!$M$8:$M$300,Data!$G$8:$G$300,$P23,Data!$D$8:$D$300,V$12,Data!$C$8:$C$300,$Q$9,Data!$E$8:$E$300,V$13)</f>
        <v>0</v>
      </c>
      <c r="W23" s="124">
        <f>SUMIFS(Data!$M$8:$M$300,Data!$G$8:$G$300,$P23,Data!$D$8:$D$300,W$12,Data!$C$8:$C$300,$Q$9,Data!$E$8:$E$300,W$13)</f>
        <v>0</v>
      </c>
      <c r="X23" s="216"/>
      <c r="Y23" s="216"/>
      <c r="Z23" s="216"/>
      <c r="AA23" s="217"/>
      <c r="AD23" s="102" t="s">
        <v>105</v>
      </c>
      <c r="AE23" s="120">
        <f>SUMIFS(Data!$M$8:$M$300,Data!$G$8:$G$300,$AD23,Data!$D$8:$D$300,AE$12,Data!$B$8:$B$300,$AE$9,Data!$E$8:$E$300,AE$13)</f>
        <v>0</v>
      </c>
      <c r="AF23" s="120">
        <f>SUMIFS(Data!$M$8:$M$300,Data!$G$8:$G$300,$AD23,Data!$D$8:$D$300,AF$12,Data!$B$8:$B$300,$AE$9,Data!$E$8:$E$300,AF$13)</f>
        <v>0</v>
      </c>
      <c r="AG23" s="120">
        <f>SUMIFS(Data!$M$8:$M$300,Data!$G$8:$G$300,$AD23,Data!$D$8:$D$300,AG$12,Data!$B$8:$B$300,$AE$9,Data!$E$8:$E$300,AG$13)</f>
        <v>0</v>
      </c>
      <c r="AH23" s="120">
        <f>SUMIFS(Data!$M$8:$M$300,Data!$G$8:$G$300,$AD23,Data!$D$8:$D$300,AH$12,Data!$B$8:$B$300,$AE$9,Data!$E$8:$E$300,AH$13)</f>
        <v>0</v>
      </c>
      <c r="AI23" s="120">
        <f>SUMIFS(Data!$M$8:$M$300,Data!$G$8:$G$300,$AD23,Data!$D$8:$D$300,AI$12,Data!$B$8:$B$300,$AE$9,Data!$E$8:$E$300,AI$13)</f>
        <v>0</v>
      </c>
      <c r="AJ23" s="120">
        <f>SUMIFS(Data!$M$8:$M$300,Data!$G$8:$G$300,$AD23,Data!$D$8:$D$300,AJ$12,Data!$B$8:$B$300,$AE$9,Data!$E$8:$E$300,AJ$13)</f>
        <v>0</v>
      </c>
      <c r="AK23" s="120">
        <f>SUMIFS(Data!$M$8:$M$300,Data!$G$8:$G$300,$AD23,Data!$D$8:$D$300,AK$12,Data!$B$8:$B$300,$AE$9,Data!$E$8:$E$300,AK$13)</f>
        <v>0</v>
      </c>
      <c r="AL23" s="120">
        <f>SUMIFS(Data!$M$8:$M$300,Data!$G$8:$G$300,$AD23,Data!$D$8:$D$300,AL$12,Data!$B$8:$B$300,$AE$9,Data!$E$8:$E$300,AL$13)</f>
        <v>0</v>
      </c>
      <c r="AM23" s="120">
        <f>SUMIFS(Data!$M$8:$M$300,Data!$G$8:$G$300,$AD23,Data!$D$8:$D$300,AM$12,Data!$B$8:$B$300,$AE$9,Data!$E$8:$E$300,AM$13)</f>
        <v>0</v>
      </c>
    </row>
    <row r="24" spans="1:39" ht="15.75" customHeight="1" thickTop="1" thickBot="1" x14ac:dyDescent="0.25">
      <c r="A24" s="12"/>
      <c r="B24" s="102" t="s">
        <v>102</v>
      </c>
      <c r="C24" s="124">
        <f>SUMIFS(Data!$M$8:$M$300,Data!$G$8:$G$300,$B24,Data!$D$8:$D$300,C$12,Data!$E$8:$E$300,C$13)</f>
        <v>0</v>
      </c>
      <c r="D24" s="124">
        <f>SUMIFS(Data!$M$8:$M$300,Data!$G$8:$G$300,$B24,Data!$D$8:$D$300,D$12,Data!$E$8:$E$300,D$13)</f>
        <v>0</v>
      </c>
      <c r="E24" s="124">
        <f>SUMIFS(Data!$M$8:$M$300,Data!$G$8:$G$300,$B24,Data!$D$8:$D$300,E$12,Data!$E$8:$E$300,E$13)</f>
        <v>0</v>
      </c>
      <c r="F24" s="124">
        <f>SUMIFS(Data!$M$8:$M$300,Data!$G$8:$G$300,$B24,Data!$D$8:$D$300,F$12,Data!$E$8:$E$300,F$13)</f>
        <v>0</v>
      </c>
      <c r="G24" s="124">
        <f>SUMIFS(Data!$M$8:$M$300,Data!$G$8:$G$300,$B24,Data!$D$8:$D$300,G$12,Data!$E$8:$E$300,G$13)</f>
        <v>0</v>
      </c>
      <c r="H24" s="124">
        <f>SUMIFS(Data!$M$8:$M$300,Data!$G$8:$G$300,$B24,Data!$D$8:$D$300,H$12,Data!$E$8:$E$300,H$13)</f>
        <v>0</v>
      </c>
      <c r="I24" s="124">
        <f>SUMIFS(Data!$M$8:$M$300,Data!$G$8:$G$300,$B24,Data!$D$8:$D$300,I$12,Data!$E$8:$E$300,I$13)</f>
        <v>0</v>
      </c>
      <c r="J24" s="124"/>
      <c r="K24" s="124"/>
      <c r="L24" s="124"/>
      <c r="M24" s="125"/>
      <c r="O24" s="12"/>
      <c r="P24" s="102" t="s">
        <v>102</v>
      </c>
      <c r="Q24" s="124">
        <f>SUMIFS(Data!$M$8:$M$300,Data!$G$8:$G$300,$P24,Data!$D$8:$D$300,Q$12,Data!$C$8:$C$300,$Q$9,Data!$E$8:$E$300,Q$13)</f>
        <v>0</v>
      </c>
      <c r="R24" s="124">
        <f>SUMIFS(Data!$M$8:$M$300,Data!$G$8:$G$300,$P24,Data!$D$8:$D$300,R$12,Data!$C$8:$C$300,$Q$9,Data!$E$8:$E$300,R$13)</f>
        <v>0</v>
      </c>
      <c r="S24" s="124">
        <f>SUMIFS(Data!$M$8:$M$300,Data!$G$8:$G$300,$P24,Data!$D$8:$D$300,S$12,Data!$C$8:$C$300,$Q$9,Data!$E$8:$E$300,S$13)</f>
        <v>0</v>
      </c>
      <c r="T24" s="124">
        <f>SUMIFS(Data!$M$8:$M$300,Data!$G$8:$G$300,$P24,Data!$D$8:$D$300,T$12,Data!$C$8:$C$300,$Q$9,Data!$E$8:$E$300,T$13)</f>
        <v>0</v>
      </c>
      <c r="U24" s="124">
        <f>SUMIFS(Data!$M$8:$M$300,Data!$G$8:$G$300,$P24,Data!$D$8:$D$300,U$12,Data!$C$8:$C$300,$Q$9,Data!$E$8:$E$300,U$13)</f>
        <v>0</v>
      </c>
      <c r="V24" s="124">
        <f>SUMIFS(Data!$M$8:$M$300,Data!$G$8:$G$300,$P24,Data!$D$8:$D$300,V$12,Data!$C$8:$C$300,$Q$9,Data!$E$8:$E$300,V$13)</f>
        <v>0</v>
      </c>
      <c r="W24" s="124">
        <f>SUMIFS(Data!$M$8:$M$300,Data!$G$8:$G$300,$P24,Data!$D$8:$D$300,W$12,Data!$C$8:$C$300,$Q$9,Data!$E$8:$E$300,W$13)</f>
        <v>0</v>
      </c>
      <c r="X24" s="216"/>
      <c r="Y24" s="216"/>
      <c r="Z24" s="216"/>
      <c r="AA24" s="217"/>
      <c r="AD24" s="102" t="s">
        <v>102</v>
      </c>
      <c r="AE24" s="120">
        <f>SUMIFS(Data!$M$8:$M$300,Data!$G$8:$G$300,$AD24,Data!$D$8:$D$300,AE$12,Data!$B$8:$B$300,$AE$9,Data!$E$8:$E$300,AE$13)</f>
        <v>0</v>
      </c>
      <c r="AF24" s="120">
        <f>SUMIFS(Data!$M$8:$M$300,Data!$G$8:$G$300,$AD24,Data!$D$8:$D$300,AF$12,Data!$B$8:$B$300,$AE$9,Data!$E$8:$E$300,AF$13)</f>
        <v>0</v>
      </c>
      <c r="AG24" s="120">
        <f>SUMIFS(Data!$M$8:$M$300,Data!$G$8:$G$300,$AD24,Data!$D$8:$D$300,AG$12,Data!$B$8:$B$300,$AE$9,Data!$E$8:$E$300,AG$13)</f>
        <v>0</v>
      </c>
      <c r="AH24" s="120">
        <f>SUMIFS(Data!$M$8:$M$300,Data!$G$8:$G$300,$AD24,Data!$D$8:$D$300,AH$12,Data!$B$8:$B$300,$AE$9,Data!$E$8:$E$300,AH$13)</f>
        <v>0</v>
      </c>
      <c r="AI24" s="120">
        <f>SUMIFS(Data!$M$8:$M$300,Data!$G$8:$G$300,$AD24,Data!$D$8:$D$300,AI$12,Data!$B$8:$B$300,$AE$9,Data!$E$8:$E$300,AI$13)</f>
        <v>0</v>
      </c>
      <c r="AJ24" s="120">
        <f>SUMIFS(Data!$M$8:$M$300,Data!$G$8:$G$300,$AD24,Data!$D$8:$D$300,AJ$12,Data!$B$8:$B$300,$AE$9,Data!$E$8:$E$300,AJ$13)</f>
        <v>0</v>
      </c>
      <c r="AK24" s="120">
        <f>SUMIFS(Data!$M$8:$M$300,Data!$G$8:$G$300,$AD24,Data!$D$8:$D$300,AK$12,Data!$B$8:$B$300,$AE$9,Data!$E$8:$E$300,AK$13)</f>
        <v>0</v>
      </c>
      <c r="AL24" s="120">
        <f>SUMIFS(Data!$M$8:$M$300,Data!$G$8:$G$300,$AD24,Data!$D$8:$D$300,AL$12,Data!$B$8:$B$300,$AE$9,Data!$E$8:$E$300,AL$13)</f>
        <v>0</v>
      </c>
      <c r="AM24" s="120">
        <f>SUMIFS(Data!$M$8:$M$300,Data!$G$8:$G$300,$AD24,Data!$D$8:$D$300,AM$12,Data!$B$8:$B$300,$AE$9,Data!$E$8:$E$300,AM$13)</f>
        <v>0</v>
      </c>
    </row>
    <row r="25" spans="1:39" ht="15.75" customHeight="1" thickTop="1" thickBot="1" x14ac:dyDescent="0.25">
      <c r="A25" s="5"/>
      <c r="B25" s="110" t="s">
        <v>49</v>
      </c>
      <c r="C25" s="111">
        <f t="shared" ref="C25:D25" si="12">SUM(C20:C24)</f>
        <v>21958.379822268998</v>
      </c>
      <c r="D25" s="111">
        <f t="shared" si="12"/>
        <v>25546.182999355999</v>
      </c>
      <c r="E25" s="111">
        <f>SUM(E20:E24)</f>
        <v>40.806005931999991</v>
      </c>
      <c r="F25" s="111">
        <f t="shared" ref="F25:I25" si="13">SUM(F20:F24)</f>
        <v>0</v>
      </c>
      <c r="G25" s="111">
        <f t="shared" si="13"/>
        <v>0</v>
      </c>
      <c r="H25" s="111">
        <f t="shared" si="13"/>
        <v>0</v>
      </c>
      <c r="I25" s="111">
        <f t="shared" si="13"/>
        <v>0</v>
      </c>
      <c r="J25" s="111">
        <f>SUM(J20:J21)</f>
        <v>0</v>
      </c>
      <c r="K25" s="111">
        <f>SUM(K20:K21)</f>
        <v>0</v>
      </c>
      <c r="L25" s="111">
        <f>SUM(L20:L21)</f>
        <v>0</v>
      </c>
      <c r="M25" s="112">
        <f>SUM(M20:M21)</f>
        <v>0</v>
      </c>
      <c r="O25" s="12"/>
      <c r="P25" s="110" t="s">
        <v>49</v>
      </c>
      <c r="Q25" s="111">
        <f>SUM(Q20:Q24)</f>
        <v>21898.162109999997</v>
      </c>
      <c r="R25" s="111">
        <f t="shared" ref="R25:T25" si="14">SUM(R20:R24)</f>
        <v>25498.841656000001</v>
      </c>
      <c r="S25" s="111">
        <f>SUM(S20:S24)</f>
        <v>0</v>
      </c>
      <c r="T25" s="111">
        <f t="shared" si="14"/>
        <v>0</v>
      </c>
      <c r="U25" s="111">
        <f t="shared" ref="U25" si="15">SUM(U20:U24)</f>
        <v>0</v>
      </c>
      <c r="V25" s="111">
        <f t="shared" ref="V25:W25" si="16">SUM(V20:V24)</f>
        <v>0</v>
      </c>
      <c r="W25" s="111">
        <f t="shared" si="16"/>
        <v>0</v>
      </c>
      <c r="X25" s="111">
        <f>SUM(X20:X21)</f>
        <v>0</v>
      </c>
      <c r="Y25" s="111">
        <f>SUM(Y20:Y21)</f>
        <v>0</v>
      </c>
      <c r="Z25" s="111">
        <f>SUM(Z20:Z21)</f>
        <v>0</v>
      </c>
      <c r="AA25" s="112">
        <f>SUM(AA20:AA21)</f>
        <v>0</v>
      </c>
      <c r="AD25" s="110" t="s">
        <v>49</v>
      </c>
      <c r="AE25" s="111">
        <f>SUM(AE20:AE24)</f>
        <v>21898.254916999998</v>
      </c>
      <c r="AF25" s="111">
        <f t="shared" ref="AF25" si="17">SUM(AF20:AF24)</f>
        <v>25499.054604000001</v>
      </c>
      <c r="AG25" s="111">
        <f>SUM(AG20:AG24)</f>
        <v>0</v>
      </c>
      <c r="AH25" s="111">
        <f t="shared" ref="AH25:AK25" si="18">SUM(AH20:AH24)</f>
        <v>0</v>
      </c>
      <c r="AI25" s="111">
        <f t="shared" si="18"/>
        <v>0</v>
      </c>
      <c r="AJ25" s="111">
        <f t="shared" si="18"/>
        <v>0</v>
      </c>
      <c r="AK25" s="111">
        <f t="shared" si="18"/>
        <v>0</v>
      </c>
      <c r="AL25" s="111">
        <f>SUM(AL20:AL21)</f>
        <v>0</v>
      </c>
      <c r="AM25" s="111">
        <f>SUM(AM20:AM21)</f>
        <v>0</v>
      </c>
    </row>
    <row r="26" spans="1:39" ht="15.75" customHeight="1" thickTop="1" thickBot="1" x14ac:dyDescent="0.25">
      <c r="A26" s="5"/>
      <c r="B26" s="312" t="s">
        <v>43</v>
      </c>
      <c r="C26" s="313"/>
      <c r="D26" s="313"/>
      <c r="E26" s="313"/>
      <c r="F26" s="313"/>
      <c r="G26" s="313"/>
      <c r="H26" s="313"/>
      <c r="I26" s="313"/>
      <c r="J26" s="108"/>
      <c r="K26" s="108"/>
      <c r="L26" s="108"/>
      <c r="M26" s="109"/>
      <c r="O26" s="12"/>
      <c r="P26" s="312" t="s">
        <v>43</v>
      </c>
      <c r="Q26" s="313"/>
      <c r="R26" s="313"/>
      <c r="S26" s="313"/>
      <c r="T26" s="313"/>
      <c r="U26" s="313"/>
      <c r="V26" s="313"/>
      <c r="W26" s="313"/>
      <c r="X26" s="108"/>
      <c r="Y26" s="108"/>
      <c r="Z26" s="108"/>
      <c r="AA26" s="109"/>
      <c r="AD26" s="312" t="s">
        <v>43</v>
      </c>
      <c r="AE26" s="313"/>
      <c r="AF26" s="313"/>
      <c r="AG26" s="313"/>
      <c r="AH26" s="313"/>
      <c r="AI26" s="313"/>
      <c r="AJ26" s="313"/>
      <c r="AK26" s="313"/>
      <c r="AL26" s="313"/>
      <c r="AM26" s="313"/>
    </row>
    <row r="27" spans="1:39" ht="18" thickTop="1" thickBot="1" x14ac:dyDescent="0.25">
      <c r="A27" s="5"/>
      <c r="B27" s="105" t="s">
        <v>12</v>
      </c>
      <c r="C27" s="120">
        <f>SUMIFS(Data!$M$8:$M$300,Data!$G$8:$G$300,$B27,Data!$D$8:$D$300,C$12,Data!$E$8:$E$300,C$13)</f>
        <v>472.74983915789477</v>
      </c>
      <c r="D27" s="120">
        <f>SUMIFS(Data!$M$8:$M$300,Data!$G$8:$G$300,$B27,Data!$D$8:$D$300,D$12,Data!$E$8:$E$300,D$13)</f>
        <v>215.93746405263158</v>
      </c>
      <c r="E27" s="120">
        <f>SUMIFS(Data!$M$8:$M$300,Data!$G$8:$G$300,$B27,Data!$D$8:$D$300,E$12,Data!$E$8:$E$300,E$13)</f>
        <v>36.943759894736843</v>
      </c>
      <c r="F27" s="120">
        <f>SUMIFS(Data!$M$8:$M$300,Data!$G$8:$G$300,$B27,Data!$D$8:$D$300,F$12,Data!$E$8:$E$300,F$13)</f>
        <v>0</v>
      </c>
      <c r="G27" s="120">
        <f>SUMIFS(Data!$M$8:$M$300,Data!$G$8:$G$300,$B27,Data!$D$8:$D$300,G$12,Data!$E$8:$E$300,G$13)</f>
        <v>0</v>
      </c>
      <c r="H27" s="120">
        <f>SUMIFS(Data!$M$8:$M$300,Data!$G$8:$G$300,$B27,Data!$D$8:$D$300,H$12,Data!$E$8:$E$300,H$13)</f>
        <v>0</v>
      </c>
      <c r="I27" s="120">
        <f>SUMIFS(Data!$M$8:$M$300,Data!$G$8:$G$300,$B27,Data!$D$8:$D$300,I$12,Data!$E$8:$E$300,I$13)</f>
        <v>0</v>
      </c>
      <c r="J27" s="120">
        <f>SUMIFS(Data!$M$8:$M$300,Data!$G$8:$G$300,$B27,Data!$D$8:$D$300,J$12,Data!$E$8:$E$300,J$13)</f>
        <v>0</v>
      </c>
      <c r="K27" s="120">
        <f>SUMIFS(Data!$M$8:$M$300,Data!$G$8:$G$300,$B27,Data!$D$8:$D$300,K$12,Data!$E$8:$E$300,K$13)</f>
        <v>0</v>
      </c>
      <c r="L27" s="120">
        <f>SUMIFS(Data!$M$8:$M$300,Data!$G$8:$G$300,$B27,Data!$D$8:$D$300,L$12,Data!$E$8:$E$300,L$13)</f>
        <v>0</v>
      </c>
      <c r="M27" s="121">
        <f>SUMIFS(Data!$M$8:$M$300,Data!$G$8:$G$300,$B27,Data!$D$8:$D$300,M$12,Data!$E$8:$E$300,M$13)</f>
        <v>0</v>
      </c>
      <c r="O27" s="12"/>
      <c r="P27" s="105" t="s">
        <v>12</v>
      </c>
      <c r="Q27" s="120">
        <f>SUMIFS(Data!$M$8:$M$300,Data!$G$8:$G$300,$P27,Data!$D$8:$D$300,Q$12,Data!$C$8:$C$300,$Q$9,Data!$E$8:$E$300,Q$13)</f>
        <v>0</v>
      </c>
      <c r="R27" s="120">
        <f>SUMIFS(Data!$M$8:$M$300,Data!$G$8:$G$300,$P27,Data!$D$8:$D$300,R$12,Data!$C$8:$C$300,$Q$9,Data!$E$8:$E$300,R$13)</f>
        <v>0</v>
      </c>
      <c r="S27" s="120">
        <f>SUMIFS(Data!$M$8:$M$300,Data!$G$8:$G$300,$P27,Data!$D$8:$D$300,S$12,Data!$C$8:$C$300,$Q$9,Data!$E$8:$E$300,S$13)</f>
        <v>0</v>
      </c>
      <c r="T27" s="120">
        <f>SUMIFS(Data!$M$8:$M$300,Data!$G$8:$G$300,$P27,Data!$D$8:$D$300,T$12,Data!$C$8:$C$300,$Q$9,Data!$E$8:$E$300,T$13)</f>
        <v>0</v>
      </c>
      <c r="U27" s="120">
        <f>SUMIFS(Data!$M$8:$M$300,Data!$G$8:$G$300,$P27,Data!$D$8:$D$300,U$12,Data!$C$8:$C$300,$Q$9,Data!$E$8:$E$300,U$13)</f>
        <v>0</v>
      </c>
      <c r="V27" s="120">
        <f>SUMIFS(Data!$M$8:$M$300,Data!$G$8:$G$300,$P27,Data!$D$8:$D$300,V$12,Data!$C$8:$C$300,$Q$9,Data!$E$8:$E$300,V$13)</f>
        <v>0</v>
      </c>
      <c r="W27" s="120">
        <f>SUMIFS(Data!$M$8:$M$300,Data!$G$8:$G$300,$P27,Data!$D$8:$D$300,W$12,Data!$C$8:$C$300,$Q$9,Data!$E$8:$E$300,W$13)</f>
        <v>0</v>
      </c>
      <c r="X27" s="120">
        <f>SUMIFS(Data!$M$8:$M$300,Data!$G$8:$G$300,$P27,Data!$D$8:$D$300,X$12,Data!$C$8:$C$300,$Q$9,Data!$E$8:$E$300,X$13)</f>
        <v>0</v>
      </c>
      <c r="Y27" s="120">
        <f>SUMIFS(Data!$M$8:$M$300,Data!$G$8:$G$300,$P27,Data!$D$8:$D$300,Y$12,Data!$C$8:$C$300,$Q$9,Data!$E$8:$E$300,Y$13)</f>
        <v>0</v>
      </c>
      <c r="Z27" s="120">
        <f>SUMIFS(Data!$M$8:$M$300,Data!$G$8:$G$300,$P27,Data!$D$8:$D$300,Z$12,Data!$C$8:$C$300,$Q$9,Data!$E$8:$E$300,Z$13)</f>
        <v>0</v>
      </c>
      <c r="AA27" s="121">
        <f>SUMIFS(Data!$M$8:$M$300,Data!$G$8:$G$300,$P27,Data!$D$8:$D$300,AA$12,Data!$C$8:$C$300,$Q$9,Data!$E$8:$E$300,AA$13)</f>
        <v>0</v>
      </c>
      <c r="AD27" s="105" t="s">
        <v>12</v>
      </c>
      <c r="AE27" s="120">
        <f>SUMIFS(Data!$M$8:$M$300,Data!$G$8:$G$300,$AD27,Data!$D$8:$D$300,AE$12,Data!$B$8:$B$300,$AE$9,Data!$E$8:$E$300,AE$13)</f>
        <v>466.12148000000002</v>
      </c>
      <c r="AF27" s="120">
        <f>SUMIFS(Data!$M$8:$M$300,Data!$G$8:$G$300,$AD27,Data!$D$8:$D$300,AF$12,Data!$B$8:$B$300,$AE$9,Data!$E$8:$E$300,AF$13)</f>
        <v>212.33004</v>
      </c>
      <c r="AG27" s="120">
        <f>SUMIFS(Data!$M$8:$M$300,Data!$G$8:$G$300,$AD27,Data!$D$8:$D$300,AG$12,Data!$B$8:$B$300,$AE$9,Data!$E$8:$E$300,AG$13)</f>
        <v>33.370739999999998</v>
      </c>
      <c r="AH27" s="120">
        <f>SUMIFS(Data!$M$8:$M$300,Data!$G$8:$G$300,$AD27,Data!$D$8:$D$300,AH$12,Data!$B$8:$B$300,$AE$9,Data!$E$8:$E$300,AH$13)</f>
        <v>0</v>
      </c>
      <c r="AI27" s="120">
        <f>SUMIFS(Data!$M$8:$M$300,Data!$G$8:$G$300,$AD27,Data!$D$8:$D$300,AI$12,Data!$B$8:$B$300,$AE$9,Data!$E$8:$E$300,AI$13)</f>
        <v>0</v>
      </c>
      <c r="AJ27" s="120">
        <f>SUMIFS(Data!$M$8:$M$300,Data!$G$8:$G$300,$AD27,Data!$D$8:$D$300,AJ$12,Data!$B$8:$B$300,$AE$9,Data!$E$8:$E$300,AJ$13)</f>
        <v>0</v>
      </c>
      <c r="AK27" s="120">
        <f>SUMIFS(Data!$M$8:$M$300,Data!$G$8:$G$300,$AD27,Data!$D$8:$D$300,AK$12,Data!$B$8:$B$300,$AE$9,Data!$E$8:$E$300,AK$13)</f>
        <v>0</v>
      </c>
      <c r="AL27" s="120">
        <f>SUMIFS(Data!$M$8:$M$300,Data!$G$8:$G$300,$AD27,Data!$D$8:$D$300,AL$12,Data!$B$8:$B$300,$AE$9,Data!$E$8:$E$300,AL$13)</f>
        <v>0</v>
      </c>
      <c r="AM27" s="120">
        <f>SUMIFS(Data!$M$8:$M$300,Data!$G$8:$G$300,$AD27,Data!$D$8:$D$300,AM$12,Data!$B$8:$B$300,$AE$9,Data!$E$8:$E$300,AM$13)</f>
        <v>0</v>
      </c>
    </row>
    <row r="28" spans="1:39" ht="18" thickTop="1" thickBot="1" x14ac:dyDescent="0.25">
      <c r="A28" s="12"/>
      <c r="B28" s="105" t="s">
        <v>77</v>
      </c>
      <c r="C28" s="120">
        <f>SUMIFS(Data!$M$8:$M$300,Data!$G$8:$G$300,$B28,Data!$D$8:$D$300,C$12,Data!$E$8:$E$300,C$13)</f>
        <v>1.8301680000000001E-2</v>
      </c>
      <c r="D28" s="120">
        <f>SUMIFS(Data!$M$8:$M$300,Data!$G$8:$G$300,$B28,Data!$D$8:$D$300,D$12,Data!$E$8:$E$300,D$13)</f>
        <v>1.3852800000000002E-2</v>
      </c>
      <c r="E28" s="120">
        <f>SUMIFS(Data!$M$8:$M$300,Data!$G$8:$G$300,$B28,Data!$D$8:$D$300,E$12,Data!$E$8:$E$300,E$13)</f>
        <v>2.0241999000000002</v>
      </c>
      <c r="F28" s="120">
        <f>SUMIFS(Data!$M$8:$M$300,Data!$G$8:$G$300,$B28,Data!$D$8:$D$300,F$12,Data!$E$8:$E$300,F$13)</f>
        <v>0</v>
      </c>
      <c r="G28" s="120">
        <f>SUMIFS(Data!$M$8:$M$300,Data!$G$8:$G$300,$B28,Data!$D$8:$D$300,G$12,Data!$E$8:$E$300,G$13)</f>
        <v>0</v>
      </c>
      <c r="H28" s="120">
        <f>SUMIFS(Data!$M$8:$M$300,Data!$G$8:$G$300,$B28,Data!$D$8:$D$300,H$12,Data!$E$8:$E$300,H$13)</f>
        <v>0</v>
      </c>
      <c r="I28" s="120">
        <f>SUMIFS(Data!$M$8:$M$300,Data!$G$8:$G$300,$B28,Data!$D$8:$D$300,I$12,Data!$E$8:$E$300,I$13)</f>
        <v>0</v>
      </c>
      <c r="J28" s="214"/>
      <c r="K28" s="214"/>
      <c r="L28" s="214"/>
      <c r="M28" s="215"/>
      <c r="O28" s="12"/>
      <c r="P28" s="105" t="s">
        <v>77</v>
      </c>
      <c r="Q28" s="120">
        <f>SUMIFS(Data!$M$8:$M$300,Data!$G$8:$G$300,$P28,Data!$D$8:$D$300,Q$12,Data!$C$8:$C$300,$Q$9,Data!$E$8:$E$300,Q$13)</f>
        <v>0</v>
      </c>
      <c r="R28" s="120">
        <f>SUMIFS(Data!$M$8:$M$300,Data!$G$8:$G$300,$P28,Data!$D$8:$D$300,R$12,Data!$C$8:$C$300,$Q$9,Data!$E$8:$E$300,R$13)</f>
        <v>0</v>
      </c>
      <c r="S28" s="120">
        <f>SUMIFS(Data!$M$8:$M$300,Data!$G$8:$G$300,$P28,Data!$D$8:$D$300,S$12,Data!$C$8:$C$300,$Q$9,Data!$E$8:$E$300,S$13)</f>
        <v>0</v>
      </c>
      <c r="T28" s="120">
        <f>SUMIFS(Data!$M$8:$M$300,Data!$G$8:$G$300,$P28,Data!$D$8:$D$300,T$12,Data!$C$8:$C$300,$Q$9,Data!$E$8:$E$300,T$13)</f>
        <v>0</v>
      </c>
      <c r="U28" s="120">
        <f>SUMIFS(Data!$M$8:$M$300,Data!$G$8:$G$300,$P28,Data!$D$8:$D$300,U$12,Data!$C$8:$C$300,$Q$9,Data!$E$8:$E$300,U$13)</f>
        <v>0</v>
      </c>
      <c r="V28" s="120">
        <f>SUMIFS(Data!$M$8:$M$300,Data!$G$8:$G$300,$P28,Data!$D$8:$D$300,V$12,Data!$C$8:$C$300,$Q$9,Data!$E$8:$E$300,V$13)</f>
        <v>0</v>
      </c>
      <c r="W28" s="120">
        <f>SUMIFS(Data!$M$8:$M$300,Data!$G$8:$G$300,$P28,Data!$D$8:$D$300,W$12,Data!$C$8:$C$300,$Q$9,Data!$E$8:$E$300,W$13)</f>
        <v>0</v>
      </c>
      <c r="X28" s="214"/>
      <c r="Y28" s="214"/>
      <c r="Z28" s="214"/>
      <c r="AA28" s="215"/>
      <c r="AD28" s="105" t="s">
        <v>77</v>
      </c>
      <c r="AE28" s="120">
        <f>SUMIFS(Data!$M$8:$M$300,Data!$G$8:$G$300,$AD28,Data!$D$8:$D$300,AE$12,Data!$B$8:$B$300,$AE$9,Data!$E$8:$E$300,AE$13)</f>
        <v>0</v>
      </c>
      <c r="AF28" s="120">
        <f>SUMIFS(Data!$M$8:$M$300,Data!$G$8:$G$300,$AD28,Data!$D$8:$D$300,AF$12,Data!$B$8:$B$300,$AE$9,Data!$E$8:$E$300,AF$13)</f>
        <v>0</v>
      </c>
      <c r="AG28" s="120">
        <f>SUMIFS(Data!$M$8:$M$300,Data!$G$8:$G$300,$AD28,Data!$D$8:$D$300,AG$12,Data!$B$8:$B$300,$AE$9,Data!$E$8:$E$300,AG$13)</f>
        <v>2.0046750000000002</v>
      </c>
      <c r="AH28" s="120">
        <f>SUMIFS(Data!$M$8:$M$300,Data!$G$8:$G$300,$AD28,Data!$D$8:$D$300,AH$12,Data!$B$8:$B$300,$AE$9,Data!$E$8:$E$300,AH$13)</f>
        <v>0</v>
      </c>
      <c r="AI28" s="120">
        <f>SUMIFS(Data!$M$8:$M$300,Data!$G$8:$G$300,$AD28,Data!$D$8:$D$300,AI$12,Data!$B$8:$B$300,$AE$9,Data!$E$8:$E$300,AI$13)</f>
        <v>0</v>
      </c>
      <c r="AJ28" s="120">
        <f>SUMIFS(Data!$M$8:$M$300,Data!$G$8:$G$300,$AD28,Data!$D$8:$D$300,AJ$12,Data!$B$8:$B$300,$AE$9,Data!$E$8:$E$300,AJ$13)</f>
        <v>0</v>
      </c>
      <c r="AK28" s="120">
        <f>SUMIFS(Data!$M$8:$M$300,Data!$G$8:$G$300,$AD28,Data!$D$8:$D$300,AK$12,Data!$B$8:$B$300,$AE$9,Data!$E$8:$E$300,AK$13)</f>
        <v>0</v>
      </c>
      <c r="AL28" s="120">
        <f>SUMIFS(Data!$M$8:$M$300,Data!$G$8:$G$300,$AD28,Data!$D$8:$D$300,AL$12,Data!$B$8:$B$300,$AE$9,Data!$E$8:$E$300,AL$13)</f>
        <v>0</v>
      </c>
      <c r="AM28" s="120">
        <f>SUMIFS(Data!$M$8:$M$300,Data!$G$8:$G$300,$AD28,Data!$D$8:$D$300,AM$12,Data!$B$8:$B$300,$AE$9,Data!$E$8:$E$300,AM$13)</f>
        <v>0</v>
      </c>
    </row>
    <row r="29" spans="1:39" ht="18" thickTop="1" thickBot="1" x14ac:dyDescent="0.25">
      <c r="A29" s="12"/>
      <c r="B29" s="105" t="s">
        <v>98</v>
      </c>
      <c r="C29" s="120">
        <f>SUMIFS(Data!$M$8:$M$300,Data!$G$8:$G$300,$B29,Data!$D$8:$D$300,C$12,Data!$E$8:$E$300,C$13)</f>
        <v>9.8106000000000009</v>
      </c>
      <c r="D29" s="120">
        <f>SUMIFS(Data!$M$8:$M$300,Data!$G$8:$G$300,$B29,Data!$D$8:$D$300,D$12,Data!$E$8:$E$300,D$13)</f>
        <v>0</v>
      </c>
      <c r="E29" s="120">
        <f>SUMIFS(Data!$M$8:$M$300,Data!$G$8:$G$300,$B29,Data!$D$8:$D$300,E$12,Data!$E$8:$E$300,E$13)</f>
        <v>0</v>
      </c>
      <c r="F29" s="120">
        <f>SUMIFS(Data!$M$8:$M$300,Data!$G$8:$G$300,$B29,Data!$D$8:$D$300,F$12,Data!$E$8:$E$300,F$13)</f>
        <v>0</v>
      </c>
      <c r="G29" s="120">
        <f>SUMIFS(Data!$M$8:$M$300,Data!$G$8:$G$300,$B29,Data!$D$8:$D$300,G$12,Data!$E$8:$E$300,G$13)</f>
        <v>0</v>
      </c>
      <c r="H29" s="120">
        <f>SUMIFS(Data!$M$8:$M$300,Data!$G$8:$G$300,$B29,Data!$D$8:$D$300,H$12,Data!$E$8:$E$300,H$13)</f>
        <v>0</v>
      </c>
      <c r="I29" s="120">
        <f>SUMIFS(Data!$M$8:$M$300,Data!$G$8:$G$300,$B29,Data!$D$8:$D$300,I$12,Data!$E$8:$E$300,I$13)</f>
        <v>0</v>
      </c>
      <c r="J29" s="214"/>
      <c r="K29" s="214"/>
      <c r="L29" s="214"/>
      <c r="M29" s="215"/>
      <c r="O29" s="12"/>
      <c r="P29" s="105" t="s">
        <v>98</v>
      </c>
      <c r="Q29" s="120">
        <f>SUMIFS(Data!$M$8:$M$300,Data!$G$8:$G$300,$P29,Data!$D$8:$D$300,Q$12,Data!$C$8:$C$300,$Q$9,Data!$E$8:$E$300,Q$13)</f>
        <v>0</v>
      </c>
      <c r="R29" s="120">
        <f>SUMIFS(Data!$M$8:$M$300,Data!$G$8:$G$300,$P29,Data!$D$8:$D$300,R$12,Data!$C$8:$C$300,$Q$9,Data!$E$8:$E$300,R$13)</f>
        <v>0</v>
      </c>
      <c r="S29" s="120">
        <f>SUMIFS(Data!$M$8:$M$300,Data!$G$8:$G$300,$P29,Data!$D$8:$D$300,S$12,Data!$C$8:$C$300,$Q$9,Data!$E$8:$E$300,S$13)</f>
        <v>0</v>
      </c>
      <c r="T29" s="120">
        <f>SUMIFS(Data!$M$8:$M$300,Data!$G$8:$G$300,$P29,Data!$D$8:$D$300,T$12,Data!$C$8:$C$300,$Q$9,Data!$E$8:$E$300,T$13)</f>
        <v>0</v>
      </c>
      <c r="U29" s="120">
        <f>SUMIFS(Data!$M$8:$M$300,Data!$G$8:$G$300,$P29,Data!$D$8:$D$300,U$12,Data!$C$8:$C$300,$Q$9,Data!$E$8:$E$300,U$13)</f>
        <v>0</v>
      </c>
      <c r="V29" s="120">
        <f>SUMIFS(Data!$M$8:$M$300,Data!$G$8:$G$300,$P29,Data!$D$8:$D$300,V$12,Data!$C$8:$C$300,$Q$9,Data!$E$8:$E$300,V$13)</f>
        <v>0</v>
      </c>
      <c r="W29" s="120">
        <f>SUMIFS(Data!$M$8:$M$300,Data!$G$8:$G$300,$P29,Data!$D$8:$D$300,W$12,Data!$C$8:$C$300,$Q$9,Data!$E$8:$E$300,W$13)</f>
        <v>0</v>
      </c>
      <c r="X29" s="214"/>
      <c r="Y29" s="214"/>
      <c r="Z29" s="214"/>
      <c r="AA29" s="215"/>
      <c r="AD29" s="105" t="s">
        <v>98</v>
      </c>
      <c r="AE29" s="120">
        <f>SUMIFS(Data!$M$8:$M$300,Data!$G$8:$G$300,$AD29,Data!$D$8:$D$300,AE$12,Data!$B$8:$B$300,$AE$9,Data!$E$8:$E$300,AE$13)</f>
        <v>9.8106000000000009</v>
      </c>
      <c r="AF29" s="120">
        <f>SUMIFS(Data!$M$8:$M$300,Data!$G$8:$G$300,$AD29,Data!$D$8:$D$300,AF$12,Data!$B$8:$B$300,$AE$9,Data!$E$8:$E$300,AF$13)</f>
        <v>0</v>
      </c>
      <c r="AG29" s="120">
        <f>SUMIFS(Data!$M$8:$M$300,Data!$G$8:$G$300,$AD29,Data!$D$8:$D$300,AG$12,Data!$B$8:$B$300,$AE$9,Data!$E$8:$E$300,AG$13)</f>
        <v>0</v>
      </c>
      <c r="AH29" s="120">
        <f>SUMIFS(Data!$M$8:$M$300,Data!$G$8:$G$300,$AD29,Data!$D$8:$D$300,AH$12,Data!$B$8:$B$300,$AE$9,Data!$E$8:$E$300,AH$13)</f>
        <v>0</v>
      </c>
      <c r="AI29" s="120">
        <f>SUMIFS(Data!$M$8:$M$300,Data!$G$8:$G$300,$AD29,Data!$D$8:$D$300,AI$12,Data!$B$8:$B$300,$AE$9,Data!$E$8:$E$300,AI$13)</f>
        <v>0</v>
      </c>
      <c r="AJ29" s="120">
        <f>SUMIFS(Data!$M$8:$M$300,Data!$G$8:$G$300,$AD29,Data!$D$8:$D$300,AJ$12,Data!$B$8:$B$300,$AE$9,Data!$E$8:$E$300,AJ$13)</f>
        <v>0</v>
      </c>
      <c r="AK29" s="120">
        <f>SUMIFS(Data!$M$8:$M$300,Data!$G$8:$G$300,$AD29,Data!$D$8:$D$300,AK$12,Data!$B$8:$B$300,$AE$9,Data!$E$8:$E$300,AK$13)</f>
        <v>0</v>
      </c>
      <c r="AL29" s="120">
        <f>SUMIFS(Data!$M$8:$M$300,Data!$G$8:$G$300,$AD29,Data!$D$8:$D$300,AL$12,Data!$B$8:$B$300,$AE$9,Data!$E$8:$E$300,AL$13)</f>
        <v>0</v>
      </c>
      <c r="AM29" s="120">
        <f>SUMIFS(Data!$M$8:$M$300,Data!$G$8:$G$300,$AD29,Data!$D$8:$D$300,AM$12,Data!$B$8:$B$300,$AE$9,Data!$E$8:$E$300,AM$13)</f>
        <v>0</v>
      </c>
    </row>
    <row r="30" spans="1:39" ht="18" thickTop="1" thickBot="1" x14ac:dyDescent="0.25">
      <c r="A30" s="12"/>
      <c r="B30" s="105" t="s">
        <v>74</v>
      </c>
      <c r="C30" s="120">
        <f>SUMIFS(Data!$M$8:$M$300,Data!$G$8:$G$300,$B30,Data!$D$8:$D$300,C$12,Data!$E$8:$E$300,C$13)</f>
        <v>2.308878</v>
      </c>
      <c r="D30" s="120">
        <f>SUMIFS(Data!$M$8:$M$300,Data!$G$8:$G$300,$B30,Data!$D$8:$D$300,D$12,Data!$E$8:$E$300,D$13)</f>
        <v>0.58211999999999997</v>
      </c>
      <c r="E30" s="120">
        <f>SUMIFS(Data!$M$8:$M$300,Data!$G$8:$G$300,$B30,Data!$D$8:$D$300,E$12,Data!$E$8:$E$300,E$13)</f>
        <v>0</v>
      </c>
      <c r="F30" s="120">
        <f>SUMIFS(Data!$M$8:$M$300,Data!$G$8:$G$300,$B30,Data!$D$8:$D$300,F$12,Data!$E$8:$E$300,F$13)</f>
        <v>0</v>
      </c>
      <c r="G30" s="120">
        <f>SUMIFS(Data!$M$8:$M$300,Data!$G$8:$G$300,$B30,Data!$D$8:$D$300,G$12,Data!$E$8:$E$300,G$13)</f>
        <v>0</v>
      </c>
      <c r="H30" s="120">
        <f>SUMIFS(Data!$M$8:$M$300,Data!$G$8:$G$300,$B30,Data!$D$8:$D$300,H$12,Data!$E$8:$E$300,H$13)</f>
        <v>0</v>
      </c>
      <c r="I30" s="120">
        <f>SUMIFS(Data!$M$8:$M$300,Data!$G$8:$G$300,$B30,Data!$D$8:$D$300,I$12,Data!$E$8:$E$300,I$13)</f>
        <v>0</v>
      </c>
      <c r="J30" s="214"/>
      <c r="K30" s="214"/>
      <c r="L30" s="214"/>
      <c r="M30" s="215"/>
      <c r="O30" s="12"/>
      <c r="P30" s="105" t="s">
        <v>74</v>
      </c>
      <c r="Q30" s="120">
        <f>SUMIFS(Data!$M$8:$M$300,Data!$G$8:$G$300,$P30,Data!$D$8:$D$300,Q$12,Data!$C$8:$C$300,$Q$9,Data!$E$8:$E$300,Q$13)</f>
        <v>0</v>
      </c>
      <c r="R30" s="120">
        <f>SUMIFS(Data!$M$8:$M$300,Data!$G$8:$G$300,$P30,Data!$D$8:$D$300,R$12,Data!$C$8:$C$300,$Q$9,Data!$E$8:$E$300,R$13)</f>
        <v>0</v>
      </c>
      <c r="S30" s="120">
        <f>SUMIFS(Data!$M$8:$M$300,Data!$G$8:$G$300,$P30,Data!$D$8:$D$300,S$12,Data!$C$8:$C$300,$Q$9,Data!$E$8:$E$300,S$13)</f>
        <v>0</v>
      </c>
      <c r="T30" s="120">
        <f>SUMIFS(Data!$M$8:$M$300,Data!$G$8:$G$300,$P30,Data!$D$8:$D$300,T$12,Data!$C$8:$C$300,$Q$9,Data!$E$8:$E$300,T$13)</f>
        <v>0</v>
      </c>
      <c r="U30" s="120">
        <f>SUMIFS(Data!$M$8:$M$300,Data!$G$8:$G$300,$P30,Data!$D$8:$D$300,U$12,Data!$C$8:$C$300,$Q$9,Data!$E$8:$E$300,U$13)</f>
        <v>0</v>
      </c>
      <c r="V30" s="120">
        <f>SUMIFS(Data!$M$8:$M$300,Data!$G$8:$G$300,$P30,Data!$D$8:$D$300,V$12,Data!$C$8:$C$300,$Q$9,Data!$E$8:$E$300,V$13)</f>
        <v>0</v>
      </c>
      <c r="W30" s="120">
        <f>SUMIFS(Data!$M$8:$M$300,Data!$G$8:$G$300,$P30,Data!$D$8:$D$300,W$12,Data!$C$8:$C$300,$Q$9,Data!$E$8:$E$300,W$13)</f>
        <v>0</v>
      </c>
      <c r="X30" s="214"/>
      <c r="Y30" s="214"/>
      <c r="Z30" s="214"/>
      <c r="AA30" s="215"/>
      <c r="AD30" s="105" t="s">
        <v>74</v>
      </c>
      <c r="AE30" s="120">
        <f>SUMIFS(Data!$M$8:$M$300,Data!$G$8:$G$300,$AD30,Data!$D$8:$D$300,AE$12,Data!$B$8:$B$300,$AE$9,Data!$E$8:$E$300,AE$13)</f>
        <v>2.308878</v>
      </c>
      <c r="AF30" s="120">
        <f>SUMIFS(Data!$M$8:$M$300,Data!$G$8:$G$300,$AD30,Data!$D$8:$D$300,AF$12,Data!$B$8:$B$300,$AE$9,Data!$E$8:$E$300,AF$13)</f>
        <v>0.58211999999999997</v>
      </c>
      <c r="AG30" s="120">
        <f>SUMIFS(Data!$M$8:$M$300,Data!$G$8:$G$300,$AD30,Data!$D$8:$D$300,AG$12,Data!$B$8:$B$300,$AE$9,Data!$E$8:$E$300,AG$13)</f>
        <v>0</v>
      </c>
      <c r="AH30" s="120">
        <f>SUMIFS(Data!$M$8:$M$300,Data!$G$8:$G$300,$AD30,Data!$D$8:$D$300,AH$12,Data!$B$8:$B$300,$AE$9,Data!$E$8:$E$300,AH$13)</f>
        <v>0</v>
      </c>
      <c r="AI30" s="120">
        <f>SUMIFS(Data!$M$8:$M$300,Data!$G$8:$G$300,$AD30,Data!$D$8:$D$300,AI$12,Data!$B$8:$B$300,$AE$9,Data!$E$8:$E$300,AI$13)</f>
        <v>0</v>
      </c>
      <c r="AJ30" s="120">
        <f>SUMIFS(Data!$M$8:$M$300,Data!$G$8:$G$300,$AD30,Data!$D$8:$D$300,AJ$12,Data!$B$8:$B$300,$AE$9,Data!$E$8:$E$300,AJ$13)</f>
        <v>0</v>
      </c>
      <c r="AK30" s="120">
        <f>SUMIFS(Data!$M$8:$M$300,Data!$G$8:$G$300,$AD30,Data!$D$8:$D$300,AK$12,Data!$B$8:$B$300,$AE$9,Data!$E$8:$E$300,AK$13)</f>
        <v>0</v>
      </c>
      <c r="AL30" s="120">
        <f>SUMIFS(Data!$M$8:$M$300,Data!$G$8:$G$300,$AD30,Data!$D$8:$D$300,AL$12,Data!$B$8:$B$300,$AE$9,Data!$E$8:$E$300,AL$13)</f>
        <v>0</v>
      </c>
      <c r="AM30" s="120">
        <f>SUMIFS(Data!$M$8:$M$300,Data!$G$8:$G$300,$AD30,Data!$D$8:$D$300,AM$12,Data!$B$8:$B$300,$AE$9,Data!$E$8:$E$300,AM$13)</f>
        <v>0</v>
      </c>
    </row>
    <row r="31" spans="1:39" ht="18" thickTop="1" thickBot="1" x14ac:dyDescent="0.25">
      <c r="A31" s="12"/>
      <c r="B31" s="105" t="s">
        <v>75</v>
      </c>
      <c r="C31" s="120">
        <f>SUMIFS(Data!$M$8:$M$300,Data!$G$8:$G$300,$B31,Data!$D$8:$D$300,C$12,Data!$E$8:$E$300,C$13)</f>
        <v>1.1572</v>
      </c>
      <c r="D31" s="120">
        <f>SUMIFS(Data!$M$8:$M$300,Data!$G$8:$G$300,$B31,Data!$D$8:$D$300,D$12,Data!$E$8:$E$300,D$13)</f>
        <v>41.313400000000001</v>
      </c>
      <c r="E31" s="120">
        <f>SUMIFS(Data!$M$8:$M$300,Data!$G$8:$G$300,$B31,Data!$D$8:$D$300,E$12,Data!$E$8:$E$300,E$13)</f>
        <v>1.0012000000000001</v>
      </c>
      <c r="F31" s="120">
        <f>SUMIFS(Data!$M$8:$M$300,Data!$G$8:$G$300,$B31,Data!$D$8:$D$300,F$12,Data!$E$8:$E$300,F$13)</f>
        <v>0</v>
      </c>
      <c r="G31" s="120">
        <f>SUMIFS(Data!$M$8:$M$300,Data!$G$8:$G$300,$B31,Data!$D$8:$D$300,G$12,Data!$E$8:$E$300,G$13)</f>
        <v>0</v>
      </c>
      <c r="H31" s="120">
        <f>SUMIFS(Data!$M$8:$M$300,Data!$G$8:$G$300,$B31,Data!$D$8:$D$300,H$12,Data!$E$8:$E$300,H$13)</f>
        <v>0</v>
      </c>
      <c r="I31" s="120">
        <f>SUMIFS(Data!$M$8:$M$300,Data!$G$8:$G$300,$B31,Data!$D$8:$D$300,I$12,Data!$E$8:$E$300,I$13)</f>
        <v>0</v>
      </c>
      <c r="J31" s="214"/>
      <c r="K31" s="214"/>
      <c r="L31" s="214"/>
      <c r="M31" s="215"/>
      <c r="O31" s="12"/>
      <c r="P31" s="105" t="s">
        <v>75</v>
      </c>
      <c r="Q31" s="120">
        <f>SUMIFS(Data!$M$8:$M$300,Data!$G$8:$G$300,$P31,Data!$D$8:$D$300,Q$12,Data!$C$8:$C$300,$Q$9,Data!$E$8:$E$300,Q$13)</f>
        <v>0</v>
      </c>
      <c r="R31" s="120">
        <f>SUMIFS(Data!$M$8:$M$300,Data!$G$8:$G$300,$P31,Data!$D$8:$D$300,R$12,Data!$C$8:$C$300,$Q$9,Data!$E$8:$E$300,R$13)</f>
        <v>0</v>
      </c>
      <c r="S31" s="120">
        <f>SUMIFS(Data!$M$8:$M$300,Data!$G$8:$G$300,$P31,Data!$D$8:$D$300,S$12,Data!$C$8:$C$300,$Q$9,Data!$E$8:$E$300,S$13)</f>
        <v>0</v>
      </c>
      <c r="T31" s="120">
        <f>SUMIFS(Data!$M$8:$M$300,Data!$G$8:$G$300,$P31,Data!$D$8:$D$300,T$12,Data!$C$8:$C$300,$Q$9,Data!$E$8:$E$300,T$13)</f>
        <v>0</v>
      </c>
      <c r="U31" s="120">
        <f>SUMIFS(Data!$M$8:$M$300,Data!$G$8:$G$300,$P31,Data!$D$8:$D$300,U$12,Data!$C$8:$C$300,$Q$9,Data!$E$8:$E$300,U$13)</f>
        <v>0</v>
      </c>
      <c r="V31" s="120">
        <f>SUMIFS(Data!$M$8:$M$300,Data!$G$8:$G$300,$P31,Data!$D$8:$D$300,V$12,Data!$C$8:$C$300,$Q$9,Data!$E$8:$E$300,V$13)</f>
        <v>0</v>
      </c>
      <c r="W31" s="120">
        <f>SUMIFS(Data!$M$8:$M$300,Data!$G$8:$G$300,$P31,Data!$D$8:$D$300,W$12,Data!$C$8:$C$300,$Q$9,Data!$E$8:$E$300,W$13)</f>
        <v>0</v>
      </c>
      <c r="X31" s="214"/>
      <c r="Y31" s="214"/>
      <c r="Z31" s="214"/>
      <c r="AA31" s="215"/>
      <c r="AD31" s="105" t="s">
        <v>75</v>
      </c>
      <c r="AE31" s="120">
        <f>SUMIFS(Data!$M$8:$M$300,Data!$G$8:$G$300,$AD31,Data!$D$8:$D$300,AE$12,Data!$B$8:$B$300,$AE$9,Data!$E$8:$E$300,AE$13)</f>
        <v>1.1572</v>
      </c>
      <c r="AF31" s="120">
        <f>SUMIFS(Data!$M$8:$M$300,Data!$G$8:$G$300,$AD31,Data!$D$8:$D$300,AF$12,Data!$B$8:$B$300,$AE$9,Data!$E$8:$E$300,AF$13)</f>
        <v>41.313400000000001</v>
      </c>
      <c r="AG31" s="120">
        <f>SUMIFS(Data!$M$8:$M$300,Data!$G$8:$G$300,$AD31,Data!$D$8:$D$300,AG$12,Data!$B$8:$B$300,$AE$9,Data!$E$8:$E$300,AG$13)</f>
        <v>1.0012000000000001</v>
      </c>
      <c r="AH31" s="120">
        <f>SUMIFS(Data!$M$8:$M$300,Data!$G$8:$G$300,$AD31,Data!$D$8:$D$300,AH$12,Data!$B$8:$B$300,$AE$9,Data!$E$8:$E$300,AH$13)</f>
        <v>0</v>
      </c>
      <c r="AI31" s="120">
        <f>SUMIFS(Data!$M$8:$M$300,Data!$G$8:$G$300,$AD31,Data!$D$8:$D$300,AI$12,Data!$B$8:$B$300,$AE$9,Data!$E$8:$E$300,AI$13)</f>
        <v>0</v>
      </c>
      <c r="AJ31" s="120">
        <f>SUMIFS(Data!$M$8:$M$300,Data!$G$8:$G$300,$AD31,Data!$D$8:$D$300,AJ$12,Data!$B$8:$B$300,$AE$9,Data!$E$8:$E$300,AJ$13)</f>
        <v>0</v>
      </c>
      <c r="AK31" s="120">
        <f>SUMIFS(Data!$M$8:$M$300,Data!$G$8:$G$300,$AD31,Data!$D$8:$D$300,AK$12,Data!$B$8:$B$300,$AE$9,Data!$E$8:$E$300,AK$13)</f>
        <v>0</v>
      </c>
      <c r="AL31" s="120">
        <f>SUMIFS(Data!$M$8:$M$300,Data!$G$8:$G$300,$AD31,Data!$D$8:$D$300,AL$12,Data!$B$8:$B$300,$AE$9,Data!$E$8:$E$300,AL$13)</f>
        <v>0</v>
      </c>
      <c r="AM31" s="120">
        <f>SUMIFS(Data!$M$8:$M$300,Data!$G$8:$G$300,$AD31,Data!$D$8:$D$300,AM$12,Data!$B$8:$B$300,$AE$9,Data!$E$8:$E$300,AM$13)</f>
        <v>0</v>
      </c>
    </row>
    <row r="32" spans="1:39" ht="18" thickTop="1" thickBot="1" x14ac:dyDescent="0.25">
      <c r="A32" s="12"/>
      <c r="B32" s="105" t="s">
        <v>76</v>
      </c>
      <c r="C32" s="120">
        <f>SUMIFS(Data!$M$8:$M$300,Data!$G$8:$G$300,$B32,Data!$D$8:$D$300,C$12,Data!$E$8:$E$300,C$13)</f>
        <v>25.956966000000001</v>
      </c>
      <c r="D32" s="120">
        <f>SUMIFS(Data!$M$8:$M$300,Data!$G$8:$G$300,$B32,Data!$D$8:$D$300,D$12,Data!$E$8:$E$300,D$13)</f>
        <v>8.6474220000000006</v>
      </c>
      <c r="E32" s="120">
        <f>SUMIFS(Data!$M$8:$M$300,Data!$G$8:$G$300,$B32,Data!$D$8:$D$300,E$12,Data!$E$8:$E$300,E$13)</f>
        <v>0</v>
      </c>
      <c r="F32" s="120">
        <f>SUMIFS(Data!$M$8:$M$300,Data!$G$8:$G$300,$B32,Data!$D$8:$D$300,F$12,Data!$E$8:$E$300,F$13)</f>
        <v>0</v>
      </c>
      <c r="G32" s="120">
        <f>SUMIFS(Data!$M$8:$M$300,Data!$G$8:$G$300,$B32,Data!$D$8:$D$300,G$12,Data!$E$8:$E$300,G$13)</f>
        <v>0</v>
      </c>
      <c r="H32" s="120">
        <f>SUMIFS(Data!$M$8:$M$300,Data!$G$8:$G$300,$B32,Data!$D$8:$D$300,H$12,Data!$E$8:$E$300,H$13)</f>
        <v>0</v>
      </c>
      <c r="I32" s="120">
        <f>SUMIFS(Data!$M$8:$M$300,Data!$G$8:$G$300,$B32,Data!$D$8:$D$300,I$12,Data!$E$8:$E$300,I$13)</f>
        <v>0</v>
      </c>
      <c r="J32" s="214"/>
      <c r="K32" s="214"/>
      <c r="L32" s="214"/>
      <c r="M32" s="215"/>
      <c r="O32" s="12"/>
      <c r="P32" s="105" t="s">
        <v>76</v>
      </c>
      <c r="Q32" s="120">
        <f>SUMIFS(Data!$M$8:$M$300,Data!$G$8:$G$300,$P32,Data!$D$8:$D$300,Q$12,Data!$C$8:$C$300,$Q$9,Data!$E$8:$E$300,Q$13)</f>
        <v>0</v>
      </c>
      <c r="R32" s="120">
        <f>SUMIFS(Data!$M$8:$M$300,Data!$G$8:$G$300,$P32,Data!$D$8:$D$300,R$12,Data!$C$8:$C$300,$Q$9,Data!$E$8:$E$300,R$13)</f>
        <v>0</v>
      </c>
      <c r="S32" s="120">
        <f>SUMIFS(Data!$M$8:$M$300,Data!$G$8:$G$300,$P32,Data!$D$8:$D$300,S$12,Data!$C$8:$C$300,$Q$9,Data!$E$8:$E$300,S$13)</f>
        <v>0</v>
      </c>
      <c r="T32" s="120">
        <f>SUMIFS(Data!$M$8:$M$300,Data!$G$8:$G$300,$P32,Data!$D$8:$D$300,T$12,Data!$C$8:$C$300,$Q$9,Data!$E$8:$E$300,T$13)</f>
        <v>0</v>
      </c>
      <c r="U32" s="120">
        <f>SUMIFS(Data!$M$8:$M$300,Data!$G$8:$G$300,$P32,Data!$D$8:$D$300,U$12,Data!$C$8:$C$300,$Q$9,Data!$E$8:$E$300,U$13)</f>
        <v>0</v>
      </c>
      <c r="V32" s="120">
        <f>SUMIFS(Data!$M$8:$M$300,Data!$G$8:$G$300,$P32,Data!$D$8:$D$300,V$12,Data!$C$8:$C$300,$Q$9,Data!$E$8:$E$300,V$13)</f>
        <v>0</v>
      </c>
      <c r="W32" s="120">
        <f>SUMIFS(Data!$M$8:$M$300,Data!$G$8:$G$300,$P32,Data!$D$8:$D$300,W$12,Data!$C$8:$C$300,$Q$9,Data!$E$8:$E$300,W$13)</f>
        <v>0</v>
      </c>
      <c r="X32" s="214"/>
      <c r="Y32" s="214"/>
      <c r="Z32" s="214"/>
      <c r="AA32" s="215"/>
      <c r="AD32" s="105" t="s">
        <v>76</v>
      </c>
      <c r="AE32" s="120">
        <f>SUMIFS(Data!$M$8:$M$300,Data!$G$8:$G$300,$AD32,Data!$D$8:$D$300,AE$12,Data!$B$8:$B$300,$AE$9,Data!$E$8:$E$300,AE$13)</f>
        <v>25.956966000000001</v>
      </c>
      <c r="AF32" s="120">
        <f>SUMIFS(Data!$M$8:$M$300,Data!$G$8:$G$300,$AD32,Data!$D$8:$D$300,AF$12,Data!$B$8:$B$300,$AE$9,Data!$E$8:$E$300,AF$13)</f>
        <v>8.6474220000000006</v>
      </c>
      <c r="AG32" s="120">
        <f>SUMIFS(Data!$M$8:$M$300,Data!$G$8:$G$300,$AD32,Data!$D$8:$D$300,AG$12,Data!$B$8:$B$300,$AE$9,Data!$E$8:$E$300,AG$13)</f>
        <v>0</v>
      </c>
      <c r="AH32" s="120">
        <f>SUMIFS(Data!$M$8:$M$300,Data!$G$8:$G$300,$AD32,Data!$D$8:$D$300,AH$12,Data!$B$8:$B$300,$AE$9,Data!$E$8:$E$300,AH$13)</f>
        <v>0</v>
      </c>
      <c r="AI32" s="120">
        <f>SUMIFS(Data!$M$8:$M$300,Data!$G$8:$G$300,$AD32,Data!$D$8:$D$300,AI$12,Data!$B$8:$B$300,$AE$9,Data!$E$8:$E$300,AI$13)</f>
        <v>0</v>
      </c>
      <c r="AJ32" s="120">
        <f>SUMIFS(Data!$M$8:$M$300,Data!$G$8:$G$300,$AD32,Data!$D$8:$D$300,AJ$12,Data!$B$8:$B$300,$AE$9,Data!$E$8:$E$300,AJ$13)</f>
        <v>0</v>
      </c>
      <c r="AK32" s="120">
        <f>SUMIFS(Data!$M$8:$M$300,Data!$G$8:$G$300,$AD32,Data!$D$8:$D$300,AK$12,Data!$B$8:$B$300,$AE$9,Data!$E$8:$E$300,AK$13)</f>
        <v>0</v>
      </c>
      <c r="AL32" s="120">
        <f>SUMIFS(Data!$M$8:$M$300,Data!$G$8:$G$300,$AD32,Data!$D$8:$D$300,AL$12,Data!$B$8:$B$300,$AE$9,Data!$E$8:$E$300,AL$13)</f>
        <v>0</v>
      </c>
      <c r="AM32" s="120">
        <f>SUMIFS(Data!$M$8:$M$300,Data!$G$8:$G$300,$AD32,Data!$D$8:$D$300,AM$12,Data!$B$8:$B$300,$AE$9,Data!$E$8:$E$300,AM$13)</f>
        <v>0</v>
      </c>
    </row>
    <row r="33" spans="1:39" ht="15.75" customHeight="1" thickTop="1" thickBot="1" x14ac:dyDescent="0.25">
      <c r="A33" s="5"/>
      <c r="B33" s="110" t="s">
        <v>48</v>
      </c>
      <c r="C33" s="111">
        <f>SUM(C27:C32)</f>
        <v>512.00178483789477</v>
      </c>
      <c r="D33" s="111">
        <f>SUM(D27:D32)</f>
        <v>266.49425885263156</v>
      </c>
      <c r="E33" s="111">
        <f t="shared" ref="E33:I33" si="19">SUM(E27:E32)</f>
        <v>39.969159794736839</v>
      </c>
      <c r="F33" s="111">
        <f t="shared" si="19"/>
        <v>0</v>
      </c>
      <c r="G33" s="111">
        <f t="shared" si="19"/>
        <v>0</v>
      </c>
      <c r="H33" s="111">
        <f t="shared" si="19"/>
        <v>0</v>
      </c>
      <c r="I33" s="111">
        <f t="shared" si="19"/>
        <v>0</v>
      </c>
      <c r="J33" s="111">
        <f t="shared" ref="J33:M33" si="20">SUM(J27:J27)</f>
        <v>0</v>
      </c>
      <c r="K33" s="111">
        <f t="shared" si="20"/>
        <v>0</v>
      </c>
      <c r="L33" s="111">
        <f t="shared" si="20"/>
        <v>0</v>
      </c>
      <c r="M33" s="112">
        <f t="shared" si="20"/>
        <v>0</v>
      </c>
      <c r="O33" s="12"/>
      <c r="P33" s="110" t="s">
        <v>48</v>
      </c>
      <c r="Q33" s="111">
        <f>SUM(Q27:Q32)</f>
        <v>0</v>
      </c>
      <c r="R33" s="111">
        <f t="shared" ref="R33:W33" si="21">SUM(R27:R32)</f>
        <v>0</v>
      </c>
      <c r="S33" s="111">
        <f t="shared" si="21"/>
        <v>0</v>
      </c>
      <c r="T33" s="111">
        <f t="shared" si="21"/>
        <v>0</v>
      </c>
      <c r="U33" s="111">
        <f t="shared" si="21"/>
        <v>0</v>
      </c>
      <c r="V33" s="111">
        <f t="shared" si="21"/>
        <v>0</v>
      </c>
      <c r="W33" s="111">
        <f t="shared" si="21"/>
        <v>0</v>
      </c>
      <c r="X33" s="111">
        <f t="shared" ref="X33:AA33" si="22">SUM(X27:X27)</f>
        <v>0</v>
      </c>
      <c r="Y33" s="111">
        <f t="shared" si="22"/>
        <v>0</v>
      </c>
      <c r="Z33" s="111">
        <f t="shared" si="22"/>
        <v>0</v>
      </c>
      <c r="AA33" s="112">
        <f t="shared" si="22"/>
        <v>0</v>
      </c>
      <c r="AD33" s="110" t="s">
        <v>48</v>
      </c>
      <c r="AE33" s="111">
        <f>SUM(AE27:AE32)</f>
        <v>505.35512400000005</v>
      </c>
      <c r="AF33" s="111">
        <f t="shared" ref="AF33:AK33" si="23">SUM(AF27:AF32)</f>
        <v>262.87298199999998</v>
      </c>
      <c r="AG33" s="111">
        <f t="shared" si="23"/>
        <v>36.376614999999994</v>
      </c>
      <c r="AH33" s="111">
        <f t="shared" si="23"/>
        <v>0</v>
      </c>
      <c r="AI33" s="111">
        <f t="shared" si="23"/>
        <v>0</v>
      </c>
      <c r="AJ33" s="111">
        <f t="shared" si="23"/>
        <v>0</v>
      </c>
      <c r="AK33" s="111">
        <f t="shared" si="23"/>
        <v>0</v>
      </c>
      <c r="AL33" s="111">
        <f t="shared" ref="AL33:AM33" si="24">SUM(AL27:AL27)</f>
        <v>0</v>
      </c>
      <c r="AM33" s="111">
        <f t="shared" si="24"/>
        <v>0</v>
      </c>
    </row>
    <row r="34" spans="1:39" ht="15.75" customHeight="1" thickTop="1" thickBot="1" x14ac:dyDescent="0.25">
      <c r="A34" s="5"/>
      <c r="B34" s="312" t="s">
        <v>47</v>
      </c>
      <c r="C34" s="313">
        <f t="shared" ref="C34:M34" si="25">C18+C25+C33</f>
        <v>24444.238002582893</v>
      </c>
      <c r="D34" s="313">
        <f t="shared" si="25"/>
        <v>28950.249273740632</v>
      </c>
      <c r="E34" s="313">
        <f t="shared" si="25"/>
        <v>4251.4000736867365</v>
      </c>
      <c r="F34" s="313">
        <f t="shared" si="25"/>
        <v>0</v>
      </c>
      <c r="G34" s="313">
        <f t="shared" si="25"/>
        <v>0</v>
      </c>
      <c r="H34" s="313">
        <f t="shared" si="25"/>
        <v>0</v>
      </c>
      <c r="I34" s="313">
        <f t="shared" si="25"/>
        <v>0</v>
      </c>
      <c r="J34" s="108">
        <f t="shared" si="25"/>
        <v>0</v>
      </c>
      <c r="K34" s="108">
        <f t="shared" si="25"/>
        <v>0</v>
      </c>
      <c r="L34" s="108">
        <f t="shared" si="25"/>
        <v>0</v>
      </c>
      <c r="M34" s="109">
        <f t="shared" si="25"/>
        <v>0</v>
      </c>
      <c r="O34" s="12"/>
      <c r="P34" s="312" t="s">
        <v>47</v>
      </c>
      <c r="Q34" s="313">
        <f t="shared" ref="Q34:AA34" si="26">Q18+Q25+Q33</f>
        <v>23339.275769999997</v>
      </c>
      <c r="R34" s="313">
        <f t="shared" si="26"/>
        <v>28201.641544000002</v>
      </c>
      <c r="S34" s="313">
        <f t="shared" si="26"/>
        <v>3663.7825359999997</v>
      </c>
      <c r="T34" s="313">
        <f t="shared" si="26"/>
        <v>0</v>
      </c>
      <c r="U34" s="313">
        <f t="shared" si="26"/>
        <v>0</v>
      </c>
      <c r="V34" s="313">
        <f t="shared" si="26"/>
        <v>0</v>
      </c>
      <c r="W34" s="313">
        <f t="shared" si="26"/>
        <v>0</v>
      </c>
      <c r="X34" s="108">
        <f t="shared" si="26"/>
        <v>0</v>
      </c>
      <c r="Y34" s="108">
        <f t="shared" si="26"/>
        <v>0</v>
      </c>
      <c r="Z34" s="108">
        <f t="shared" si="26"/>
        <v>0</v>
      </c>
      <c r="AA34" s="109">
        <f t="shared" si="26"/>
        <v>0</v>
      </c>
      <c r="AD34" s="312" t="s">
        <v>47</v>
      </c>
      <c r="AE34" s="313">
        <f t="shared" ref="AE34:AM34" si="27">AE18+AE25+AE33</f>
        <v>24204.395777999998</v>
      </c>
      <c r="AF34" s="313">
        <f t="shared" si="27"/>
        <v>28709.119794000002</v>
      </c>
      <c r="AG34" s="313">
        <f t="shared" si="27"/>
        <v>4051.859735</v>
      </c>
      <c r="AH34" s="313">
        <f t="shared" si="27"/>
        <v>0</v>
      </c>
      <c r="AI34" s="313">
        <f t="shared" si="27"/>
        <v>0</v>
      </c>
      <c r="AJ34" s="313">
        <f t="shared" si="27"/>
        <v>0</v>
      </c>
      <c r="AK34" s="313">
        <f t="shared" si="27"/>
        <v>0</v>
      </c>
      <c r="AL34" s="313">
        <f t="shared" si="27"/>
        <v>0</v>
      </c>
      <c r="AM34" s="313">
        <f t="shared" si="27"/>
        <v>0</v>
      </c>
    </row>
    <row r="35" spans="1:39" ht="15.75" customHeight="1" thickTop="1" x14ac:dyDescent="0.2">
      <c r="A35" s="5"/>
      <c r="L35" s="12"/>
      <c r="M35" s="12"/>
      <c r="N35" s="12"/>
      <c r="O35" s="12"/>
      <c r="P35" s="20"/>
      <c r="Q35" s="32"/>
      <c r="R35" s="31"/>
      <c r="S35" s="31"/>
      <c r="T35" s="31"/>
      <c r="U35" s="31"/>
      <c r="V35" s="31"/>
      <c r="W35" s="31"/>
      <c r="X35" s="31"/>
      <c r="Y35" s="22"/>
      <c r="Z35" s="12"/>
      <c r="AA35" s="12"/>
      <c r="AB35" s="12"/>
      <c r="AC35" s="12"/>
      <c r="AD35" s="12"/>
      <c r="AE35" s="20"/>
      <c r="AF35" s="32"/>
      <c r="AG35" s="19"/>
      <c r="AH35" s="31"/>
      <c r="AI35" s="22"/>
    </row>
    <row r="36" spans="1:39" ht="15.75" customHeight="1" thickBot="1" x14ac:dyDescent="0.25">
      <c r="A36" s="5"/>
      <c r="B36" s="310" t="s">
        <v>89</v>
      </c>
      <c r="C36" s="311"/>
      <c r="D36" s="311"/>
      <c r="E36" s="311"/>
      <c r="F36" s="311"/>
      <c r="G36" s="311"/>
      <c r="H36" s="311"/>
      <c r="I36" s="311"/>
      <c r="J36" s="113"/>
      <c r="K36" s="113"/>
      <c r="L36" s="113"/>
      <c r="M36" s="114"/>
      <c r="O36" s="12"/>
      <c r="P36" s="310" t="s">
        <v>89</v>
      </c>
      <c r="Q36" s="311"/>
      <c r="R36" s="311"/>
      <c r="S36" s="311"/>
      <c r="T36" s="311"/>
      <c r="U36" s="311"/>
      <c r="V36" s="311"/>
      <c r="W36" s="311"/>
      <c r="X36" s="113"/>
      <c r="Y36" s="113"/>
      <c r="Z36" s="113"/>
      <c r="AA36" s="114"/>
      <c r="AD36" s="310" t="s">
        <v>89</v>
      </c>
      <c r="AE36" s="311"/>
      <c r="AF36" s="311"/>
      <c r="AG36" s="311"/>
      <c r="AH36" s="311"/>
      <c r="AI36" s="311"/>
      <c r="AJ36" s="311"/>
      <c r="AK36" s="311"/>
    </row>
    <row r="37" spans="1:39" ht="15.75" customHeight="1" thickTop="1" thickBot="1" x14ac:dyDescent="0.25">
      <c r="A37" s="5"/>
      <c r="B37" s="101" t="s">
        <v>108</v>
      </c>
      <c r="C37" s="122">
        <f>SUMIFS(Data!$M$8:$M$300,Data!$G$8:$G$300,$B37,Data!$D$8:$D$300,C$12,Data!$E$8:$E$300,C$13)</f>
        <v>16180.821972</v>
      </c>
      <c r="D37" s="122">
        <f>SUMIFS(Data!$M$8:$M$300,Data!$G$8:$G$300,$B37,Data!$D$8:$D$300,D$12,Data!$E$8:$E$300,D$13)</f>
        <v>7609.49928</v>
      </c>
      <c r="E37" s="122">
        <f>SUMIFS(Data!$M$8:$M$300,Data!$G$8:$G$300,$B37,Data!$D$8:$D$300,E$12,Data!$E$8:$E$300,E$13)</f>
        <v>2053.2074940000002</v>
      </c>
      <c r="F37" s="122">
        <f>SUMIFS(Data!$M$8:$M$300,Data!$G$8:$G$300,$B37,Data!$D$8:$D$300,F$12,Data!$E$8:$E$300,F$13)</f>
        <v>0</v>
      </c>
      <c r="G37" s="122">
        <f>SUMIFS(Data!$M$8:$M$300,Data!$G$8:$G$300,$B37,Data!$D$8:$D$300,G$12,Data!$E$8:$E$300,G$13)</f>
        <v>0</v>
      </c>
      <c r="H37" s="122">
        <f>SUMIFS(Data!$M$8:$M$300,Data!$G$8:$G$300,$B37,Data!$D$8:$D$300,H$12,Data!$E$8:$E$300,H$13)</f>
        <v>0</v>
      </c>
      <c r="I37" s="122">
        <f>SUMIFS(Data!$M$8:$M$300,Data!$G$8:$G$300,$B37,Data!$D$8:$D$300,I$12,Data!$E$8:$E$300,I$13)</f>
        <v>0</v>
      </c>
      <c r="J37" s="122">
        <f>SUMIFS(Data!$M$8:$M$300,Data!$G$8:$G$300,$B37,Data!$D$8:$D$300,J$12,Data!$E$8:$E$300,J$13)</f>
        <v>0</v>
      </c>
      <c r="K37" s="122">
        <f>SUMIFS(Data!$M$8:$M$300,Data!$G$8:$G$300,$B37,Data!$D$8:$D$300,K$12,Data!$E$8:$E$300,K$13)</f>
        <v>0</v>
      </c>
      <c r="L37" s="122">
        <f>SUMIFS(Data!$M$8:$M$300,Data!$G$8:$G$300,$B37,Data!$D$8:$D$300,L$12,Data!$E$8:$E$300,L$13)</f>
        <v>0</v>
      </c>
      <c r="M37" s="123">
        <f>SUMIFS(Data!$M$8:$M$300,Data!$G$8:$G$300,$B37,Data!$D$8:$D$300,M$12,Data!$E$8:$E$300,M$13)</f>
        <v>0</v>
      </c>
      <c r="O37" s="12"/>
      <c r="P37" s="101" t="s">
        <v>108</v>
      </c>
      <c r="Q37" s="122">
        <f>SUMIFS(Data!$M$8:$M$300,Data!$G$8:$G$300,$P37,Data!$D$8:$D$300,Q$12,Data!$C$8:$C$300,$Q$9,Data!$E$8:$E$300,Q$13)</f>
        <v>16180.821972</v>
      </c>
      <c r="R37" s="122">
        <f>SUMIFS(Data!$M$8:$M$300,Data!$G$8:$G$300,$P37,Data!$D$8:$D$300,R$12,Data!$C$8:$C$300,$Q$9,Data!$E$8:$E$300,R$13)</f>
        <v>7609.49928</v>
      </c>
      <c r="S37" s="122">
        <f>SUMIFS(Data!$M$8:$M$300,Data!$G$8:$G$300,$P37,Data!$D$8:$D$300,S$12,Data!$C$8:$C$300,$Q$9,Data!$E$8:$E$300,S$13)</f>
        <v>2053.2074940000002</v>
      </c>
      <c r="T37" s="122">
        <f>SUMIFS(Data!$M$8:$M$300,Data!$G$8:$G$300,$P37,Data!$D$8:$D$300,T$12,Data!$C$8:$C$300,$Q$9,Data!$E$8:$E$300,T$13)</f>
        <v>0</v>
      </c>
      <c r="U37" s="122">
        <f>SUMIFS(Data!$M$8:$M$300,Data!$G$8:$G$300,$P37,Data!$D$8:$D$300,U$12,Data!$C$8:$C$300,$Q$9,Data!$E$8:$E$300,U$13)</f>
        <v>0</v>
      </c>
      <c r="V37" s="122">
        <f>SUMIFS(Data!$M$8:$M$300,Data!$G$8:$G$300,$P37,Data!$D$8:$D$300,V$12,Data!$C$8:$C$300,$Q$9,Data!$E$8:$E$300,V$13)</f>
        <v>0</v>
      </c>
      <c r="W37" s="122">
        <f>SUMIFS(Data!$M$8:$M$300,Data!$G$8:$G$300,$P37,Data!$D$8:$D$300,W$12,Data!$C$8:$C$300,$Q$9,Data!$E$8:$E$300,W$13)</f>
        <v>0</v>
      </c>
      <c r="X37" s="122">
        <f>SUMIFS(Data!$M$8:$M$300,Data!$G$8:$G$300,$P37,Data!$D$8:$D$300,X$12,Data!$C$8:$C$300,$Q$9,Data!$E$8:$E$300,X$13)</f>
        <v>0</v>
      </c>
      <c r="Y37" s="122">
        <f>SUMIFS(Data!$M$8:$M$300,Data!$G$8:$G$300,$P37,Data!$D$8:$D$300,Y$12,Data!$C$8:$C$300,$Q$9,Data!$E$8:$E$300,Y$13)</f>
        <v>0</v>
      </c>
      <c r="Z37" s="122">
        <f>SUMIFS(Data!$M$8:$M$300,Data!$G$8:$G$300,$P37,Data!$D$8:$D$300,Z$12,Data!$C$8:$C$300,$Q$9,Data!$E$8:$E$300,Z$13)</f>
        <v>0</v>
      </c>
      <c r="AA37" s="123">
        <f>SUMIFS(Data!$M$8:$M$300,Data!$G$8:$G$300,$P37,Data!$D$8:$D$300,AA$12,Data!$C$8:$C$300,$Q$9,Data!$E$8:$E$300,AA$13)</f>
        <v>0</v>
      </c>
      <c r="AD37" s="101" t="s">
        <v>108</v>
      </c>
      <c r="AE37" s="122">
        <f>SUMIFS(Data!$M$8:$M$300,Data!$G$8:$G$300,$P37,Data!$D$8:$D$300,AE$12,Data!$C$8:$C$300,$Q$9,Data!$E$8:$E$300,AE$13)</f>
        <v>16180.821972</v>
      </c>
      <c r="AF37" s="122">
        <f>SUMIFS(Data!$M$8:$M$300,Data!$G$8:$G$300,$P37,Data!$D$8:$D$300,AF$12,Data!$C$8:$C$300,$Q$9,Data!$E$8:$E$300,AF$13)</f>
        <v>7609.49928</v>
      </c>
      <c r="AG37" s="122">
        <f>SUMIFS(Data!$M$8:$M$300,Data!$G$8:$G$300,$P37,Data!$D$8:$D$300,AG$12,Data!$C$8:$C$300,$Q$9,Data!$E$8:$E$300,AG$13)</f>
        <v>2053.2074940000002</v>
      </c>
      <c r="AH37" s="122">
        <f>SUMIFS(Data!$M$8:$M$300,Data!$G$8:$G$300,$P37,Data!$D$8:$D$300,AH$12,Data!$C$8:$C$300,$Q$9,Data!$E$8:$E$300,AH$13)</f>
        <v>0</v>
      </c>
      <c r="AI37" s="122">
        <f>SUMIFS(Data!$M$8:$M$300,Data!$G$8:$G$300,$P37,Data!$D$8:$D$300,AI$12,Data!$C$8:$C$300,$Q$9,Data!$E$8:$E$300,AI$13)</f>
        <v>0</v>
      </c>
      <c r="AJ37" s="122">
        <f>SUMIFS(Data!$M$8:$M$300,Data!$G$8:$G$300,$P37,Data!$D$8:$D$300,AJ$12,Data!$C$8:$C$300,$Q$9,Data!$E$8:$E$300,AJ$13)</f>
        <v>0</v>
      </c>
      <c r="AK37" s="122">
        <f>SUMIFS(Data!$M$8:$M$300,Data!$G$8:$G$300,$P37,Data!$D$8:$D$300,AK$12,Data!$C$8:$C$300,$Q$9,Data!$E$8:$E$300,AK$13)</f>
        <v>0</v>
      </c>
    </row>
    <row r="38" spans="1:39" ht="15.75" customHeight="1" thickBot="1" x14ac:dyDescent="0.25">
      <c r="A38" s="12"/>
      <c r="B38" s="102" t="s">
        <v>84</v>
      </c>
      <c r="C38" s="124">
        <f>SUMIFS(Data!$M$8:$M$300,Data!$G$8:$G$300,$B38,Data!$D$8:$D$300,C$12,Data!$E$8:$E$300,C$13)</f>
        <v>184.632048</v>
      </c>
      <c r="D38" s="124">
        <f>SUMIFS(Data!$M$8:$M$300,Data!$G$8:$G$300,$B38,Data!$D$8:$D$300,D$12,Data!$E$8:$E$300,D$13)</f>
        <v>168.01587000000001</v>
      </c>
      <c r="E38" s="124">
        <f>SUMIFS(Data!$M$8:$M$300,Data!$G$8:$G$300,$B38,Data!$D$8:$D$300,E$12,Data!$E$8:$E$300,E$13)</f>
        <v>295.26742821698281</v>
      </c>
      <c r="F38" s="124">
        <f>SUMIFS(Data!$M$8:$M$300,Data!$G$8:$G$300,$B38,Data!$D$8:$D$300,F$12,Data!$E$8:$E$300,F$13)</f>
        <v>0</v>
      </c>
      <c r="G38" s="124">
        <f>SUMIFS(Data!$M$8:$M$300,Data!$G$8:$G$300,$B38,Data!$D$8:$D$300,G$12,Data!$E$8:$E$300,G$13)</f>
        <v>0</v>
      </c>
      <c r="H38" s="124">
        <f>SUMIFS(Data!$M$8:$M$300,Data!$G$8:$G$300,$B38,Data!$D$8:$D$300,H$12,Data!$E$8:$E$300,H$13)</f>
        <v>0</v>
      </c>
      <c r="I38" s="124">
        <f>SUMIFS(Data!$M$8:$M$300,Data!$G$8:$G$300,$B38,Data!$D$8:$D$300,I$12,Data!$E$8:$E$300,I$13)</f>
        <v>0</v>
      </c>
      <c r="J38" s="124"/>
      <c r="K38" s="124"/>
      <c r="L38" s="124"/>
      <c r="M38" s="125"/>
      <c r="O38" s="12"/>
      <c r="P38" s="102" t="s">
        <v>84</v>
      </c>
      <c r="Q38" s="124">
        <f>SUMIFS(Data!$M$8:$M$300,Data!$G$8:$G$300,$P38,Data!$D$8:$D$300,Q$12,Data!$C$8:$C$300,$Q$9,Data!$E$8:$E$300,Q$13)</f>
        <v>184.632048</v>
      </c>
      <c r="R38" s="124">
        <f>SUMIFS(Data!$M$8:$M$300,Data!$G$8:$G$300,$P38,Data!$D$8:$D$300,R$12,Data!$C$8:$C$300,$Q$9,Data!$E$8:$E$300,R$13)</f>
        <v>168.01587000000001</v>
      </c>
      <c r="S38" s="124">
        <f>SUMIFS(Data!$M$8:$M$300,Data!$G$8:$G$300,$P38,Data!$D$8:$D$300,S$12,Data!$C$8:$C$300,$Q$9,Data!$E$8:$E$300,S$13)</f>
        <v>295.26742821698281</v>
      </c>
      <c r="T38" s="124">
        <f>SUMIFS(Data!$M$8:$M$300,Data!$G$8:$G$300,$P38,Data!$D$8:$D$300,T$12,Data!$C$8:$C$300,$Q$9,Data!$E$8:$E$300,T$13)</f>
        <v>0</v>
      </c>
      <c r="U38" s="124">
        <f>SUMIFS(Data!$M$8:$M$300,Data!$G$8:$G$300,$P38,Data!$D$8:$D$300,U$12,Data!$C$8:$C$300,$Q$9,Data!$E$8:$E$300,U$13)</f>
        <v>0</v>
      </c>
      <c r="V38" s="124">
        <f>SUMIFS(Data!$M$8:$M$300,Data!$G$8:$G$300,$P38,Data!$D$8:$D$300,V$12,Data!$C$8:$C$300,$Q$9,Data!$E$8:$E$300,V$13)</f>
        <v>0</v>
      </c>
      <c r="W38" s="124">
        <f>SUMIFS(Data!$M$8:$M$300,Data!$G$8:$G$300,$P38,Data!$D$8:$D$300,W$12,Data!$C$8:$C$300,$Q$9,Data!$E$8:$E$300,W$13)</f>
        <v>0</v>
      </c>
      <c r="X38" s="124">
        <f>SUMIFS(Data!$M$8:$M$300,Data!$G$8:$G$300,$P38,Data!$D$8:$D$300,X$12,Data!$C$8:$C$300,$Q$9,Data!$E$8:$E$300,X$13)</f>
        <v>0</v>
      </c>
      <c r="Y38" s="124">
        <f>SUMIFS(Data!$M$8:$M$300,Data!$G$8:$G$300,$P38,Data!$D$8:$D$300,Y$12,Data!$C$8:$C$300,$Q$9,Data!$E$8:$E$300,Y$13)</f>
        <v>0</v>
      </c>
      <c r="Z38" s="124">
        <f>SUMIFS(Data!$M$8:$M$300,Data!$G$8:$G$300,$P38,Data!$D$8:$D$300,Z$12,Data!$C$8:$C$300,$Q$9,Data!$E$8:$E$300,Z$13)</f>
        <v>0</v>
      </c>
      <c r="AA38" s="125">
        <f>SUMIFS(Data!$M$8:$M$300,Data!$G$8:$G$300,$P38,Data!$D$8:$D$300,AA$12,Data!$C$8:$C$300,$Q$9,Data!$E$8:$E$300,AA$13)</f>
        <v>0</v>
      </c>
      <c r="AD38" s="102" t="s">
        <v>84</v>
      </c>
      <c r="AE38" s="124">
        <f>SUMIFS(Data!$M$8:$M$300,Data!$G$8:$G$300,$P38,Data!$D$8:$D$300,AE$12,Data!$C$8:$C$300,$Q$9,Data!$E$8:$E$300,AE$13)</f>
        <v>184.632048</v>
      </c>
      <c r="AF38" s="124">
        <f>SUMIFS(Data!$M$8:$M$300,Data!$G$8:$G$300,$P38,Data!$D$8:$D$300,AF$12,Data!$C$8:$C$300,$Q$9,Data!$E$8:$E$300,AF$13)</f>
        <v>168.01587000000001</v>
      </c>
      <c r="AG38" s="124">
        <f>SUMIFS(Data!$M$8:$M$300,Data!$G$8:$G$300,$P38,Data!$D$8:$D$300,AG$12,Data!$C$8:$C$300,$Q$9,Data!$E$8:$E$300,AG$13)</f>
        <v>295.26742821698281</v>
      </c>
      <c r="AH38" s="124">
        <f>SUMIFS(Data!$M$8:$M$300,Data!$G$8:$G$300,$P38,Data!$D$8:$D$300,AH$12,Data!$C$8:$C$300,$Q$9,Data!$E$8:$E$300,AH$13)</f>
        <v>0</v>
      </c>
      <c r="AI38" s="124">
        <f>SUMIFS(Data!$M$8:$M$300,Data!$G$8:$G$300,$P38,Data!$D$8:$D$300,AI$12,Data!$C$8:$C$300,$Q$9,Data!$E$8:$E$300,AI$13)</f>
        <v>0</v>
      </c>
      <c r="AJ38" s="124">
        <f>SUMIFS(Data!$M$8:$M$300,Data!$G$8:$G$300,$P38,Data!$D$8:$D$300,AJ$12,Data!$C$8:$C$300,$Q$9,Data!$E$8:$E$300,AJ$13)</f>
        <v>0</v>
      </c>
      <c r="AK38" s="124">
        <f>SUMIFS(Data!$M$8:$M$300,Data!$G$8:$G$300,$P38,Data!$D$8:$D$300,AK$12,Data!$C$8:$C$300,$Q$9,Data!$E$8:$E$300,AK$13)</f>
        <v>0</v>
      </c>
    </row>
    <row r="39" spans="1:39" ht="15.75" customHeight="1" thickTop="1" thickBot="1" x14ac:dyDescent="0.25">
      <c r="A39" s="5"/>
      <c r="B39" s="110" t="s">
        <v>91</v>
      </c>
      <c r="C39" s="111">
        <f t="shared" ref="C39:M39" si="28">SUM(C37:C38)</f>
        <v>16365.454019999999</v>
      </c>
      <c r="D39" s="111">
        <f t="shared" si="28"/>
        <v>7777.5151500000002</v>
      </c>
      <c r="E39" s="111">
        <f t="shared" si="28"/>
        <v>2348.474922216983</v>
      </c>
      <c r="F39" s="111">
        <f t="shared" si="28"/>
        <v>0</v>
      </c>
      <c r="G39" s="111">
        <f t="shared" si="28"/>
        <v>0</v>
      </c>
      <c r="H39" s="111">
        <f t="shared" si="28"/>
        <v>0</v>
      </c>
      <c r="I39" s="111">
        <f t="shared" si="28"/>
        <v>0</v>
      </c>
      <c r="J39" s="111">
        <f t="shared" si="28"/>
        <v>0</v>
      </c>
      <c r="K39" s="111">
        <f t="shared" si="28"/>
        <v>0</v>
      </c>
      <c r="L39" s="111">
        <f t="shared" si="28"/>
        <v>0</v>
      </c>
      <c r="M39" s="112">
        <f t="shared" si="28"/>
        <v>0</v>
      </c>
      <c r="O39" s="12"/>
      <c r="P39" s="110" t="s">
        <v>90</v>
      </c>
      <c r="Q39" s="111">
        <f t="shared" ref="Q39:AA39" si="29">SUM(Q37:Q38)</f>
        <v>16365.454019999999</v>
      </c>
      <c r="R39" s="111">
        <f t="shared" si="29"/>
        <v>7777.5151500000002</v>
      </c>
      <c r="S39" s="111">
        <f t="shared" si="29"/>
        <v>2348.474922216983</v>
      </c>
      <c r="T39" s="111">
        <f t="shared" si="29"/>
        <v>0</v>
      </c>
      <c r="U39" s="111">
        <f t="shared" si="29"/>
        <v>0</v>
      </c>
      <c r="V39" s="111">
        <f t="shared" si="29"/>
        <v>0</v>
      </c>
      <c r="W39" s="111">
        <f t="shared" si="29"/>
        <v>0</v>
      </c>
      <c r="X39" s="111">
        <f t="shared" si="29"/>
        <v>0</v>
      </c>
      <c r="Y39" s="111">
        <f t="shared" si="29"/>
        <v>0</v>
      </c>
      <c r="Z39" s="111">
        <f t="shared" si="29"/>
        <v>0</v>
      </c>
      <c r="AA39" s="112">
        <f t="shared" si="29"/>
        <v>0</v>
      </c>
      <c r="AD39" s="110" t="s">
        <v>90</v>
      </c>
      <c r="AE39" s="111">
        <f t="shared" ref="AE39:AK39" si="30">SUM(AE37:AE38)</f>
        <v>16365.454019999999</v>
      </c>
      <c r="AF39" s="111">
        <f t="shared" si="30"/>
        <v>7777.5151500000002</v>
      </c>
      <c r="AG39" s="111">
        <f t="shared" si="30"/>
        <v>2348.474922216983</v>
      </c>
      <c r="AH39" s="111">
        <f t="shared" si="30"/>
        <v>0</v>
      </c>
      <c r="AI39" s="111">
        <f t="shared" si="30"/>
        <v>0</v>
      </c>
      <c r="AJ39" s="111">
        <f t="shared" si="30"/>
        <v>0</v>
      </c>
      <c r="AK39" s="111">
        <f t="shared" si="30"/>
        <v>0</v>
      </c>
    </row>
    <row r="40" spans="1:39" ht="15.75" customHeight="1" thickTop="1" thickBot="1" x14ac:dyDescent="0.25">
      <c r="A40" s="5"/>
      <c r="L40" s="12"/>
      <c r="M40" s="12"/>
      <c r="N40" s="12"/>
      <c r="O40" s="12"/>
      <c r="P40" s="25"/>
      <c r="Q40" s="12"/>
      <c r="R40" s="26"/>
      <c r="S40" s="26"/>
      <c r="T40" s="26"/>
      <c r="U40" s="26"/>
      <c r="V40" s="26"/>
      <c r="W40" s="26"/>
      <c r="X40" s="26"/>
      <c r="Y40" s="27"/>
      <c r="Z40" s="12"/>
      <c r="AA40" s="12"/>
      <c r="AB40" s="12"/>
      <c r="AC40" s="12"/>
      <c r="AD40" s="12"/>
      <c r="AE40" s="25"/>
      <c r="AF40" s="12"/>
      <c r="AG40" s="12"/>
      <c r="AH40" s="26"/>
      <c r="AI40" s="27"/>
    </row>
    <row r="41" spans="1:39" ht="21.75" customHeight="1" thickTop="1" thickBot="1" x14ac:dyDescent="0.25">
      <c r="A41" s="12"/>
      <c r="B41" s="372" t="s">
        <v>121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4"/>
      <c r="N41" s="12"/>
      <c r="O41" s="12"/>
      <c r="P41" s="370" t="s">
        <v>122</v>
      </c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1"/>
      <c r="AB41" s="12"/>
      <c r="AC41" s="12"/>
      <c r="AD41" s="372" t="s">
        <v>159</v>
      </c>
      <c r="AE41" s="373"/>
      <c r="AF41" s="373"/>
      <c r="AG41" s="373"/>
      <c r="AH41" s="373"/>
      <c r="AI41" s="373"/>
      <c r="AJ41" s="373"/>
      <c r="AK41" s="373"/>
      <c r="AL41" s="373"/>
      <c r="AM41" s="373"/>
    </row>
    <row r="42" spans="1:39" ht="15.75" customHeight="1" thickTop="1" thickBot="1" x14ac:dyDescent="0.25">
      <c r="A42" s="12"/>
      <c r="B42" s="126"/>
      <c r="C42" s="127">
        <v>2019</v>
      </c>
      <c r="D42" s="127">
        <f>+C42+1</f>
        <v>2020</v>
      </c>
      <c r="E42" s="127">
        <f t="shared" ref="E42:M42" si="31">+D42+1</f>
        <v>2021</v>
      </c>
      <c r="F42" s="127">
        <f t="shared" si="31"/>
        <v>2022</v>
      </c>
      <c r="G42" s="127">
        <f t="shared" si="31"/>
        <v>2023</v>
      </c>
      <c r="H42" s="127">
        <f t="shared" si="31"/>
        <v>2024</v>
      </c>
      <c r="I42" s="127">
        <f t="shared" si="31"/>
        <v>2025</v>
      </c>
      <c r="J42" s="127">
        <f t="shared" si="31"/>
        <v>2026</v>
      </c>
      <c r="K42" s="127">
        <f t="shared" si="31"/>
        <v>2027</v>
      </c>
      <c r="L42" s="127">
        <f t="shared" si="31"/>
        <v>2028</v>
      </c>
      <c r="M42" s="127">
        <f t="shared" si="31"/>
        <v>2029</v>
      </c>
      <c r="N42" s="12"/>
      <c r="O42" s="12"/>
      <c r="P42" s="126"/>
      <c r="Q42" s="127">
        <v>2019</v>
      </c>
      <c r="R42" s="127">
        <f>+Q42+1</f>
        <v>2020</v>
      </c>
      <c r="S42" s="127">
        <f t="shared" ref="S42:AA42" si="32">+R42+1</f>
        <v>2021</v>
      </c>
      <c r="T42" s="127">
        <f t="shared" si="32"/>
        <v>2022</v>
      </c>
      <c r="U42" s="127">
        <f t="shared" si="32"/>
        <v>2023</v>
      </c>
      <c r="V42" s="127">
        <f t="shared" si="32"/>
        <v>2024</v>
      </c>
      <c r="W42" s="127">
        <f t="shared" si="32"/>
        <v>2025</v>
      </c>
      <c r="X42" s="127">
        <f t="shared" si="32"/>
        <v>2026</v>
      </c>
      <c r="Y42" s="127">
        <f t="shared" si="32"/>
        <v>2027</v>
      </c>
      <c r="Z42" s="127">
        <f t="shared" si="32"/>
        <v>2028</v>
      </c>
      <c r="AA42" s="127">
        <f t="shared" si="32"/>
        <v>2029</v>
      </c>
      <c r="AB42" s="12"/>
      <c r="AC42" s="12"/>
      <c r="AD42" s="126"/>
      <c r="AE42" s="127">
        <v>2019</v>
      </c>
      <c r="AF42" s="127">
        <f>+AE42+1</f>
        <v>2020</v>
      </c>
      <c r="AG42" s="127">
        <f t="shared" ref="AG42" si="33">+AF42+1</f>
        <v>2021</v>
      </c>
      <c r="AH42" s="127">
        <f t="shared" ref="AH42" si="34">+AG42+1</f>
        <v>2022</v>
      </c>
      <c r="AI42" s="127">
        <f t="shared" ref="AI42" si="35">+AH42+1</f>
        <v>2023</v>
      </c>
      <c r="AJ42" s="127">
        <f t="shared" ref="AJ42" si="36">+AI42+1</f>
        <v>2024</v>
      </c>
      <c r="AK42" s="127">
        <f t="shared" ref="AK42" si="37">+AJ42+1</f>
        <v>2025</v>
      </c>
      <c r="AL42" s="127">
        <f t="shared" ref="AL42" si="38">+AK42+1</f>
        <v>2026</v>
      </c>
      <c r="AM42" s="127">
        <f t="shared" ref="AM42" si="39">+AL42+1</f>
        <v>2027</v>
      </c>
    </row>
    <row r="43" spans="1:39" ht="15.75" customHeight="1" thickTop="1" thickBot="1" x14ac:dyDescent="0.25">
      <c r="A43" s="12"/>
      <c r="B43" s="320"/>
      <c r="C43" s="309" t="s">
        <v>16</v>
      </c>
      <c r="D43" s="309" t="s">
        <v>16</v>
      </c>
      <c r="E43" s="309" t="s">
        <v>16</v>
      </c>
      <c r="F43" s="309" t="s">
        <v>16</v>
      </c>
      <c r="G43" s="309" t="s">
        <v>16</v>
      </c>
      <c r="H43" s="309" t="s">
        <v>16</v>
      </c>
      <c r="I43" s="309" t="s">
        <v>16</v>
      </c>
      <c r="J43" s="128" t="s">
        <v>16</v>
      </c>
      <c r="K43" s="128" t="s">
        <v>16</v>
      </c>
      <c r="L43" s="128" t="s">
        <v>16</v>
      </c>
      <c r="M43" s="128" t="s">
        <v>16</v>
      </c>
      <c r="N43" s="12"/>
      <c r="O43" s="12"/>
      <c r="P43" s="320"/>
      <c r="Q43" s="309" t="s">
        <v>16</v>
      </c>
      <c r="R43" s="309" t="s">
        <v>16</v>
      </c>
      <c r="S43" s="309" t="s">
        <v>16</v>
      </c>
      <c r="T43" s="309" t="s">
        <v>16</v>
      </c>
      <c r="U43" s="309" t="s">
        <v>16</v>
      </c>
      <c r="V43" s="309" t="s">
        <v>16</v>
      </c>
      <c r="W43" s="309" t="s">
        <v>16</v>
      </c>
      <c r="X43" s="128" t="s">
        <v>16</v>
      </c>
      <c r="Y43" s="128" t="s">
        <v>16</v>
      </c>
      <c r="Z43" s="128" t="s">
        <v>16</v>
      </c>
      <c r="AA43" s="128" t="s">
        <v>16</v>
      </c>
      <c r="AB43" s="12"/>
      <c r="AC43" s="12"/>
      <c r="AD43" s="320"/>
      <c r="AE43" s="309" t="s">
        <v>16</v>
      </c>
      <c r="AF43" s="309" t="s">
        <v>16</v>
      </c>
      <c r="AG43" s="309" t="s">
        <v>16</v>
      </c>
      <c r="AH43" s="309" t="s">
        <v>16</v>
      </c>
      <c r="AI43" s="309" t="s">
        <v>16</v>
      </c>
      <c r="AJ43" s="309" t="s">
        <v>16</v>
      </c>
      <c r="AK43" s="309" t="s">
        <v>16</v>
      </c>
      <c r="AL43" s="309" t="s">
        <v>16</v>
      </c>
      <c r="AM43" s="309" t="s">
        <v>16</v>
      </c>
    </row>
    <row r="44" spans="1:39" ht="15.75" customHeight="1" thickBot="1" x14ac:dyDescent="0.25">
      <c r="A44" s="12"/>
      <c r="B44" s="135" t="s">
        <v>22</v>
      </c>
      <c r="C44" s="131">
        <f>C34/$C$34</f>
        <v>1</v>
      </c>
      <c r="D44" s="131">
        <f>D34/$C$34</f>
        <v>1.1843383815311246</v>
      </c>
      <c r="E44" s="131">
        <f t="shared" ref="E44" si="40">E34/$C$34</f>
        <v>0.17392238094055187</v>
      </c>
      <c r="F44" s="131"/>
      <c r="G44" s="131"/>
      <c r="H44" s="131"/>
      <c r="I44" s="131"/>
      <c r="J44" s="131">
        <f t="shared" ref="J44:M44" si="41">J32/$C$34</f>
        <v>0</v>
      </c>
      <c r="K44" s="131">
        <f t="shared" si="41"/>
        <v>0</v>
      </c>
      <c r="L44" s="131">
        <f t="shared" si="41"/>
        <v>0</v>
      </c>
      <c r="M44" s="131">
        <f t="shared" si="41"/>
        <v>0</v>
      </c>
      <c r="N44" s="12"/>
      <c r="O44" s="12"/>
      <c r="P44" s="135" t="s">
        <v>22</v>
      </c>
      <c r="Q44" s="131">
        <f>Q34/$Q$34</f>
        <v>1</v>
      </c>
      <c r="R44" s="131">
        <f t="shared" ref="R44:S44" si="42">R34/$Q$34</f>
        <v>1.2083340469480217</v>
      </c>
      <c r="S44" s="131">
        <f t="shared" si="42"/>
        <v>0.15697927271202555</v>
      </c>
      <c r="T44" s="131"/>
      <c r="U44" s="131"/>
      <c r="V44" s="131"/>
      <c r="W44" s="131"/>
      <c r="X44" s="129">
        <f t="shared" ref="X44:AA46" si="43">X32/$Q$34</f>
        <v>0</v>
      </c>
      <c r="Y44" s="129">
        <f t="shared" si="43"/>
        <v>0</v>
      </c>
      <c r="Z44" s="129">
        <f t="shared" si="43"/>
        <v>0</v>
      </c>
      <c r="AA44" s="129">
        <f t="shared" si="43"/>
        <v>0</v>
      </c>
      <c r="AB44" s="12"/>
      <c r="AC44" s="12"/>
      <c r="AD44" s="135" t="s">
        <v>22</v>
      </c>
      <c r="AE44" s="131">
        <f>AE34/$AE$34</f>
        <v>1</v>
      </c>
      <c r="AF44" s="131">
        <f t="shared" ref="AF44:AG44" si="44">AF34/$AE$34</f>
        <v>1.1861118144537393</v>
      </c>
      <c r="AG44" s="131">
        <f t="shared" si="44"/>
        <v>0.16740181296666948</v>
      </c>
      <c r="AH44" s="131"/>
      <c r="AI44" s="131"/>
      <c r="AJ44" s="131"/>
      <c r="AK44" s="131"/>
      <c r="AL44" s="131"/>
      <c r="AM44" s="131"/>
    </row>
    <row r="45" spans="1:39" ht="15.75" customHeight="1" thickBot="1" x14ac:dyDescent="0.25">
      <c r="A45" s="12"/>
      <c r="B45" s="325" t="s">
        <v>21</v>
      </c>
      <c r="C45" s="331">
        <f>C34/$C$34</f>
        <v>1</v>
      </c>
      <c r="D45" s="331">
        <v>1</v>
      </c>
      <c r="E45" s="331">
        <f t="shared" ref="E45" si="45">E34/$C$34</f>
        <v>0.17392238094055187</v>
      </c>
      <c r="F45" s="326"/>
      <c r="G45" s="326"/>
      <c r="H45" s="326"/>
      <c r="I45" s="326"/>
      <c r="J45" s="221">
        <f t="shared" ref="J45" si="46">I45-7.5%</f>
        <v>-7.4999999999999997E-2</v>
      </c>
      <c r="K45" s="221">
        <f t="shared" ref="K45" si="47">J45-7.5%</f>
        <v>-0.15</v>
      </c>
      <c r="L45" s="221">
        <f t="shared" ref="L45" si="48">K45-7.5%</f>
        <v>-0.22499999999999998</v>
      </c>
      <c r="M45" s="221">
        <f t="shared" ref="M45" si="49">L45-7.5%</f>
        <v>-0.3</v>
      </c>
      <c r="N45" s="12"/>
      <c r="O45" s="12"/>
      <c r="P45" s="193" t="s">
        <v>21</v>
      </c>
      <c r="Q45" s="322">
        <f>100%</f>
        <v>1</v>
      </c>
      <c r="R45" s="322">
        <v>1</v>
      </c>
      <c r="S45" s="322">
        <v>0.17</v>
      </c>
      <c r="T45" s="222"/>
      <c r="U45" s="222"/>
      <c r="V45" s="222"/>
      <c r="W45" s="222"/>
      <c r="X45" s="194"/>
      <c r="Y45" s="194"/>
      <c r="Z45" s="195"/>
      <c r="AA45" s="196"/>
      <c r="AB45" s="12"/>
      <c r="AC45" s="12"/>
      <c r="AD45" s="193" t="s">
        <v>21</v>
      </c>
      <c r="AE45" s="222">
        <v>1</v>
      </c>
      <c r="AF45" s="222">
        <v>1</v>
      </c>
      <c r="AG45" s="222">
        <v>0.17</v>
      </c>
      <c r="AH45" s="222"/>
      <c r="AI45" s="222"/>
      <c r="AJ45" s="222"/>
      <c r="AK45" s="222"/>
      <c r="AL45" s="222"/>
      <c r="AM45" s="222"/>
    </row>
    <row r="46" spans="1:39" ht="15.75" customHeight="1" thickBot="1" x14ac:dyDescent="0.25">
      <c r="A46" s="329" t="s">
        <v>229</v>
      </c>
      <c r="B46" s="323" t="s">
        <v>226</v>
      </c>
      <c r="C46" s="330">
        <f>SUMIFS(Data!$H$8:$H$300,Data!$G$8:$G$300,$B46,Data!$D$8:$D$300,C$42,Data!$E$8:$E$300,C$43)</f>
        <v>146610.367</v>
      </c>
      <c r="D46" s="330">
        <f>SUMIFS(Data!$H$8:$H$300,Data!$G$8:$G$300,$B46,Data!$D$8:$D$300,D$42,Data!$E$8:$E$300,D$43)</f>
        <v>153871.84</v>
      </c>
      <c r="E46" s="330">
        <f>SUMIFS(Data!$H$8:$H$300,Data!$G$8:$G$300,$B46,Data!$D$8:$D$300,E$42,Data!$E$8:$E$300,E$43)</f>
        <v>150456.43</v>
      </c>
      <c r="F46" s="324"/>
      <c r="G46" s="324"/>
      <c r="H46" s="324"/>
      <c r="I46" s="324"/>
      <c r="J46" s="131">
        <f t="shared" ref="J46:M46" si="50">J34/$C$34</f>
        <v>0</v>
      </c>
      <c r="K46" s="131">
        <f t="shared" si="50"/>
        <v>0</v>
      </c>
      <c r="L46" s="131">
        <f t="shared" si="50"/>
        <v>0</v>
      </c>
      <c r="M46" s="131">
        <f t="shared" si="50"/>
        <v>0</v>
      </c>
      <c r="N46" s="12"/>
      <c r="O46" s="329" t="s">
        <v>229</v>
      </c>
      <c r="P46" s="333" t="s">
        <v>226</v>
      </c>
      <c r="Q46" s="327">
        <f>SUMIFS(Data!$H$8:$H$300,Data!$G$8:$G$300,$AD46,Data!$D$8:$D$300,Q$42,Data!$E$8:$E$300,Q$43)</f>
        <v>146610.367</v>
      </c>
      <c r="R46" s="327">
        <f>SUMIFS(Data!$H$8:$H$300,Data!$G$8:$G$300,$AD46,Data!$D$8:$D$300,R$42,Data!$E$8:$E$300,R$43)</f>
        <v>153871.84</v>
      </c>
      <c r="S46" s="327">
        <f>SUMIFS(Data!$H$8:$H$300,Data!$G$8:$G$300,$AD46,Data!$D$8:$D$300,S$42,Data!$E$8:$E$300,S$43)</f>
        <v>150456.43</v>
      </c>
      <c r="T46" s="336"/>
      <c r="U46" s="336"/>
      <c r="V46" s="336"/>
      <c r="W46" s="336"/>
      <c r="X46" s="129">
        <f t="shared" si="43"/>
        <v>0</v>
      </c>
      <c r="Y46" s="129">
        <f t="shared" ref="Y46:AA46" si="51">Y34/$Q$34</f>
        <v>0</v>
      </c>
      <c r="Z46" s="129">
        <f t="shared" si="51"/>
        <v>0</v>
      </c>
      <c r="AA46" s="129">
        <f t="shared" si="51"/>
        <v>0</v>
      </c>
      <c r="AB46" s="12"/>
      <c r="AC46" s="12"/>
      <c r="AD46" s="333" t="s">
        <v>226</v>
      </c>
      <c r="AE46" s="327">
        <f>SUMIFS(Data!$H$8:$H$300,Data!$G$8:$G$300,$AD46,Data!$D$8:$D$300,AE$42,Data!$E$8:$E$300,AE$43)</f>
        <v>146610.367</v>
      </c>
      <c r="AF46" s="327">
        <f>SUMIFS(Data!$H$8:$H$300,Data!$G$8:$G$300,$AD46,Data!$D$8:$D$300,AF$42,Data!$E$8:$E$300,AF$43)</f>
        <v>153871.84</v>
      </c>
      <c r="AG46" s="327">
        <f>SUMIFS(Data!$H$8:$H$300,Data!$G$8:$G$300,$AD46,Data!$D$8:$D$300,AG$42,Data!$E$8:$E$300,AG$43)</f>
        <v>150456.43</v>
      </c>
      <c r="AH46" s="334"/>
      <c r="AI46" s="334"/>
      <c r="AJ46" s="334"/>
      <c r="AK46" s="334"/>
      <c r="AL46" s="334"/>
      <c r="AM46" s="334"/>
    </row>
    <row r="47" spans="1:39" ht="15.75" customHeight="1" thickBot="1" x14ac:dyDescent="0.25">
      <c r="A47" s="12"/>
      <c r="B47" s="193" t="s">
        <v>203</v>
      </c>
      <c r="C47" s="328">
        <f>C34/C46</f>
        <v>0.16672926002963279</v>
      </c>
      <c r="D47" s="328">
        <f t="shared" ref="D47:E47" si="52">D34/D46</f>
        <v>0.18814520755546066</v>
      </c>
      <c r="E47" s="328">
        <f t="shared" si="52"/>
        <v>2.8256685830487516E-2</v>
      </c>
      <c r="F47" s="221"/>
      <c r="G47" s="221"/>
      <c r="H47" s="221"/>
      <c r="I47" s="221"/>
      <c r="J47" s="221">
        <f t="shared" ref="J47" si="53">I47-7.5%</f>
        <v>-7.4999999999999997E-2</v>
      </c>
      <c r="K47" s="221">
        <f t="shared" ref="K47" si="54">J47-7.5%</f>
        <v>-0.15</v>
      </c>
      <c r="L47" s="221">
        <f t="shared" ref="L47" si="55">K47-7.5%</f>
        <v>-0.22499999999999998</v>
      </c>
      <c r="M47" s="221">
        <f t="shared" ref="M47" si="56">L47-7.5%</f>
        <v>-0.3</v>
      </c>
      <c r="N47" s="12"/>
      <c r="O47" s="12"/>
      <c r="P47" s="193" t="s">
        <v>203</v>
      </c>
      <c r="Q47" s="328">
        <f>Q34/Q46</f>
        <v>0.15919253356756141</v>
      </c>
      <c r="R47" s="328">
        <f t="shared" ref="R47:S47" si="57">R34/R46</f>
        <v>0.18328006959558032</v>
      </c>
      <c r="S47" s="328">
        <f t="shared" si="57"/>
        <v>2.4351119696246946E-2</v>
      </c>
      <c r="T47" s="335"/>
      <c r="U47" s="335"/>
      <c r="V47" s="335"/>
      <c r="W47" s="335"/>
      <c r="X47" s="194"/>
      <c r="Y47" s="194"/>
      <c r="Z47" s="195"/>
      <c r="AA47" s="196"/>
      <c r="AB47" s="12"/>
      <c r="AC47" s="12"/>
      <c r="AD47" s="193" t="s">
        <v>203</v>
      </c>
      <c r="AE47" s="328">
        <f>AE34/AE46</f>
        <v>0.16509334416985669</v>
      </c>
      <c r="AF47" s="328">
        <f t="shared" ref="AF47:AG47" si="58">AF34/AF46</f>
        <v>0.1865781275768198</v>
      </c>
      <c r="AG47" s="328">
        <f t="shared" si="58"/>
        <v>2.6930452457232967E-2</v>
      </c>
      <c r="AH47" s="332"/>
      <c r="AI47" s="332"/>
      <c r="AJ47" s="332"/>
      <c r="AK47" s="332"/>
      <c r="AL47" s="332"/>
      <c r="AM47" s="332"/>
    </row>
    <row r="48" spans="1:39" ht="15.75" customHeight="1" x14ac:dyDescent="0.2">
      <c r="A48" s="12"/>
      <c r="B48" s="325" t="s">
        <v>228</v>
      </c>
      <c r="C48" s="326">
        <f>C47/$C$47</f>
        <v>1</v>
      </c>
      <c r="D48" s="326">
        <f t="shared" ref="D48:E48" si="59">D47/$C$47</f>
        <v>1.1284474454095317</v>
      </c>
      <c r="E48" s="326">
        <f t="shared" si="59"/>
        <v>0.16947646637108241</v>
      </c>
      <c r="F48" s="326"/>
      <c r="G48" s="326"/>
      <c r="H48" s="326"/>
      <c r="I48" s="326"/>
      <c r="J48" s="221">
        <f t="shared" ref="J48:M48" si="60">I48-7.5%</f>
        <v>-7.4999999999999997E-2</v>
      </c>
      <c r="K48" s="221">
        <f t="shared" si="60"/>
        <v>-0.15</v>
      </c>
      <c r="L48" s="221">
        <f t="shared" si="60"/>
        <v>-0.22499999999999998</v>
      </c>
      <c r="M48" s="221">
        <f t="shared" si="60"/>
        <v>-0.3</v>
      </c>
      <c r="N48" s="12"/>
      <c r="O48" s="12"/>
      <c r="P48" s="325" t="s">
        <v>228</v>
      </c>
      <c r="Q48" s="326">
        <f>Q47/$Q$47</f>
        <v>1</v>
      </c>
      <c r="R48" s="326">
        <f t="shared" ref="R48:S48" si="61">R47/$Q$47</f>
        <v>1.1513107146937651</v>
      </c>
      <c r="S48" s="326">
        <f t="shared" si="61"/>
        <v>0.15296646865609634</v>
      </c>
      <c r="T48" s="326"/>
      <c r="U48" s="326"/>
      <c r="V48" s="326"/>
      <c r="W48" s="326"/>
      <c r="X48" s="194"/>
      <c r="Y48" s="194"/>
      <c r="Z48" s="195"/>
      <c r="AA48" s="196"/>
      <c r="AB48" s="12"/>
      <c r="AC48" s="12"/>
      <c r="AD48" s="325" t="s">
        <v>228</v>
      </c>
      <c r="AE48" s="326">
        <f>AE47/$AE$47</f>
        <v>1</v>
      </c>
      <c r="AF48" s="326">
        <f t="shared" ref="AF48:AG48" si="62">AF47/$AE$47</f>
        <v>1.1301371870258952</v>
      </c>
      <c r="AG48" s="326">
        <f t="shared" si="62"/>
        <v>0.16312258130482538</v>
      </c>
      <c r="AH48" s="326"/>
      <c r="AI48" s="326"/>
      <c r="AJ48" s="326"/>
      <c r="AK48" s="326"/>
      <c r="AL48" s="326"/>
      <c r="AM48" s="326"/>
    </row>
    <row r="49" spans="1:30" ht="15.75" customHeight="1" x14ac:dyDescent="0.2">
      <c r="A49" s="5"/>
      <c r="B49" s="12"/>
      <c r="C49" s="12"/>
      <c r="D49" s="12"/>
      <c r="E49" s="12"/>
      <c r="F49" s="12"/>
      <c r="G49" s="12"/>
      <c r="H49" s="12"/>
      <c r="I49" s="12"/>
      <c r="J49" s="21"/>
      <c r="K49" s="1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36" customHeight="1" x14ac:dyDescent="0.2">
      <c r="A50" s="5"/>
      <c r="B50" s="29"/>
      <c r="C50" s="30"/>
      <c r="D50" s="30"/>
      <c r="E50" s="30"/>
      <c r="F50" s="30"/>
      <c r="G50" s="30"/>
      <c r="H50" s="30"/>
      <c r="I50" s="30"/>
      <c r="J50" s="28"/>
      <c r="K50" s="28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ht="15.75" customHeight="1" x14ac:dyDescent="0.2">
      <c r="A51" s="5"/>
      <c r="B51" s="19"/>
      <c r="C51" s="24"/>
      <c r="D51" s="24"/>
      <c r="E51" s="24"/>
      <c r="F51" s="24"/>
      <c r="G51" s="24"/>
      <c r="H51" s="24"/>
      <c r="I51" s="24"/>
      <c r="J51" s="31"/>
      <c r="K51" s="24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15.75" customHeight="1" x14ac:dyDescent="0.2">
      <c r="A52" s="5"/>
      <c r="B52" s="19"/>
      <c r="C52" s="24"/>
      <c r="D52" s="24"/>
      <c r="E52" s="24"/>
      <c r="F52" s="24"/>
      <c r="G52" s="24"/>
      <c r="H52" s="24"/>
      <c r="I52" s="24"/>
      <c r="J52" s="31"/>
      <c r="K52" s="24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ht="15.75" customHeight="1" x14ac:dyDescent="0.2">
      <c r="A53" s="5"/>
      <c r="B53" s="20"/>
      <c r="C53" s="24"/>
      <c r="D53" s="24"/>
      <c r="E53" s="24"/>
      <c r="F53" s="24"/>
      <c r="G53" s="24"/>
      <c r="H53" s="24"/>
      <c r="I53" s="24"/>
      <c r="J53" s="31"/>
      <c r="K53" s="24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ht="15.75" customHeight="1" x14ac:dyDescent="0.2">
      <c r="A54" s="5"/>
      <c r="B54" s="12"/>
      <c r="C54" s="24"/>
      <c r="D54" s="24"/>
      <c r="E54" s="24"/>
      <c r="F54" s="24"/>
      <c r="G54" s="24"/>
      <c r="H54" s="24"/>
      <c r="I54" s="24"/>
      <c r="J54" s="31"/>
      <c r="K54" s="2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ht="15.75" customHeight="1" x14ac:dyDescent="0.2">
      <c r="A55" s="5"/>
      <c r="B55" s="19"/>
      <c r="C55" s="24"/>
      <c r="D55" s="24"/>
      <c r="E55" s="24"/>
      <c r="F55" s="24"/>
      <c r="G55" s="24"/>
      <c r="H55" s="24"/>
      <c r="I55" s="24"/>
      <c r="J55" s="31"/>
      <c r="K55" s="24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ht="15.75" customHeight="1" x14ac:dyDescent="0.2">
      <c r="A56" s="5"/>
      <c r="B56" s="20"/>
      <c r="C56" s="24"/>
      <c r="D56" s="24"/>
      <c r="E56" s="24"/>
      <c r="F56" s="24"/>
      <c r="G56" s="24"/>
      <c r="H56" s="24"/>
      <c r="I56" s="24"/>
      <c r="J56" s="31"/>
      <c r="K56" s="24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ht="15.75" customHeight="1" x14ac:dyDescent="0.2">
      <c r="A57" s="5"/>
      <c r="B57" s="20"/>
      <c r="C57" s="24"/>
      <c r="D57" s="24"/>
      <c r="E57" s="24"/>
      <c r="F57" s="24"/>
      <c r="G57" s="24"/>
      <c r="H57" s="24"/>
      <c r="I57" s="24"/>
      <c r="J57" s="31"/>
      <c r="K57" s="24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ht="15.75" customHeight="1" x14ac:dyDescent="0.2">
      <c r="A58" s="5"/>
      <c r="B58" s="20"/>
      <c r="C58" s="24"/>
      <c r="D58" s="24"/>
      <c r="E58" s="24"/>
      <c r="F58" s="24"/>
      <c r="G58" s="24"/>
      <c r="H58" s="24"/>
      <c r="I58" s="24"/>
      <c r="J58" s="31"/>
      <c r="K58" s="24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ht="15.75" customHeight="1" x14ac:dyDescent="0.2">
      <c r="A59" s="5"/>
      <c r="B59" s="25"/>
      <c r="C59" s="12"/>
      <c r="D59" s="12"/>
      <c r="E59" s="12"/>
      <c r="F59" s="12"/>
      <c r="G59" s="12"/>
      <c r="H59" s="12"/>
      <c r="I59" s="12"/>
      <c r="J59" s="26"/>
      <c r="K59" s="35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60" spans="1:30" ht="15.75" customHeight="1" x14ac:dyDescent="0.2">
      <c r="A60" s="5"/>
      <c r="B60" s="25"/>
      <c r="C60" s="12"/>
      <c r="D60" s="12"/>
      <c r="E60" s="12"/>
      <c r="F60" s="12"/>
      <c r="G60" s="12"/>
      <c r="H60" s="12"/>
      <c r="I60" s="12"/>
      <c r="J60" s="21"/>
      <c r="K60" s="23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t="15.75" customHeight="1" x14ac:dyDescent="0.2">
      <c r="A61" s="5"/>
      <c r="B61" s="33"/>
      <c r="C61" s="26"/>
      <c r="D61" s="26"/>
      <c r="E61" s="26"/>
      <c r="F61" s="26"/>
      <c r="G61" s="26"/>
      <c r="H61" s="26"/>
      <c r="I61" s="26"/>
      <c r="J61" s="26"/>
      <c r="K61" s="35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</row>
    <row r="62" spans="1:30" ht="15.75" customHeight="1" x14ac:dyDescent="0.2">
      <c r="A62" s="5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</row>
    <row r="63" spans="1:30" ht="15.75" customHeight="1" x14ac:dyDescent="0.2">
      <c r="A63" s="5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</row>
    <row r="64" spans="1:30" ht="15.75" customHeight="1" x14ac:dyDescent="0.2">
      <c r="A64" s="5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1:39" ht="15.75" customHeight="1" x14ac:dyDescent="0.2">
      <c r="A65" s="5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</row>
    <row r="66" spans="1:39" ht="15.75" customHeight="1" thickBot="1" x14ac:dyDescent="0.25">
      <c r="A66" s="5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</row>
    <row r="67" spans="1:39" ht="15.75" customHeight="1" thickTop="1" thickBot="1" x14ac:dyDescent="0.25">
      <c r="A67" s="5"/>
      <c r="B67" s="375"/>
      <c r="C67" s="376"/>
      <c r="D67" s="172"/>
      <c r="E67" s="180"/>
      <c r="F67" s="180"/>
      <c r="G67" s="180"/>
      <c r="H67" s="180"/>
      <c r="I67" s="172"/>
      <c r="L67" s="12"/>
      <c r="M67" s="12"/>
      <c r="N67" s="12"/>
      <c r="O67" s="12"/>
      <c r="P67" s="370" t="s">
        <v>51</v>
      </c>
      <c r="Q67" s="371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370" t="s">
        <v>224</v>
      </c>
      <c r="AE67" s="371"/>
      <c r="AF67" s="12"/>
      <c r="AG67" s="12"/>
      <c r="AH67" s="12"/>
      <c r="AI67" s="12"/>
      <c r="AJ67" s="12"/>
      <c r="AK67" s="12"/>
      <c r="AL67" s="12"/>
      <c r="AM67" s="12"/>
    </row>
    <row r="68" spans="1:39" ht="15.75" customHeight="1" thickTop="1" thickBot="1" x14ac:dyDescent="0.25">
      <c r="A68" s="5"/>
      <c r="B68" s="17"/>
      <c r="C68" s="17"/>
      <c r="D68" s="17"/>
      <c r="E68" s="17"/>
      <c r="F68" s="17"/>
      <c r="G68" s="17"/>
      <c r="H68" s="17"/>
      <c r="I68" s="17"/>
      <c r="L68" s="12"/>
      <c r="M68" s="12"/>
      <c r="N68" s="12"/>
      <c r="O68" s="12"/>
      <c r="P68" s="59" t="s">
        <v>1</v>
      </c>
      <c r="Q68" s="139" t="s">
        <v>2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218" t="s">
        <v>36</v>
      </c>
      <c r="AE68" s="219" t="s">
        <v>37</v>
      </c>
      <c r="AF68" s="12"/>
      <c r="AG68" s="12"/>
      <c r="AH68" s="12"/>
      <c r="AI68" s="12"/>
      <c r="AJ68" s="12"/>
      <c r="AK68" s="12"/>
      <c r="AL68" s="12"/>
      <c r="AM68" s="12"/>
    </row>
    <row r="69" spans="1:39" ht="15.75" customHeight="1" thickTop="1" thickBot="1" x14ac:dyDescent="0.25">
      <c r="A69" s="12"/>
      <c r="B69" s="12"/>
      <c r="C69" s="18"/>
      <c r="D69" s="18"/>
      <c r="E69" s="18"/>
      <c r="F69" s="18"/>
      <c r="G69" s="18"/>
      <c r="H69" s="18"/>
      <c r="I69" s="18"/>
      <c r="L69" s="12"/>
      <c r="M69" s="12"/>
      <c r="N69" s="12"/>
      <c r="O69" s="12"/>
      <c r="P69" s="137" t="s">
        <v>0</v>
      </c>
      <c r="Q69" s="138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37" t="s">
        <v>0</v>
      </c>
      <c r="AE69" s="138" t="s">
        <v>127</v>
      </c>
      <c r="AF69" s="12"/>
      <c r="AG69" s="12"/>
      <c r="AH69" s="12"/>
      <c r="AI69" s="12"/>
      <c r="AJ69" s="12"/>
      <c r="AK69" s="12"/>
      <c r="AL69" s="12"/>
      <c r="AM69" s="12"/>
    </row>
    <row r="70" spans="1:39" ht="15.75" customHeight="1" thickTop="1" thickBot="1" x14ac:dyDescent="0.25">
      <c r="A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</row>
    <row r="71" spans="1:39" ht="15.75" customHeight="1" thickTop="1" thickBot="1" x14ac:dyDescent="0.25">
      <c r="A71" s="12"/>
      <c r="B71" s="372" t="s">
        <v>220</v>
      </c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4"/>
      <c r="N71" s="34"/>
      <c r="O71" s="12"/>
      <c r="P71" s="372" t="s">
        <v>221</v>
      </c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4"/>
      <c r="AB71" s="12"/>
      <c r="AC71" s="12"/>
      <c r="AD71" s="372" t="s">
        <v>225</v>
      </c>
      <c r="AE71" s="373"/>
      <c r="AF71" s="373"/>
      <c r="AG71" s="373"/>
      <c r="AH71" s="373"/>
      <c r="AI71" s="373"/>
      <c r="AJ71" s="373"/>
      <c r="AK71" s="373"/>
      <c r="AL71" s="373"/>
      <c r="AM71" s="373"/>
    </row>
    <row r="72" spans="1:39" ht="15.75" customHeight="1" thickTop="1" thickBot="1" x14ac:dyDescent="0.25">
      <c r="A72" s="12"/>
      <c r="B72" s="115"/>
      <c r="C72" s="116">
        <v>2022</v>
      </c>
      <c r="D72" s="116">
        <f>C72+1</f>
        <v>2023</v>
      </c>
      <c r="E72" s="116">
        <f t="shared" ref="E72:M72" si="63">D72+1</f>
        <v>2024</v>
      </c>
      <c r="F72" s="116">
        <f t="shared" si="63"/>
        <v>2025</v>
      </c>
      <c r="G72" s="116">
        <f t="shared" si="63"/>
        <v>2026</v>
      </c>
      <c r="H72" s="116">
        <f t="shared" si="63"/>
        <v>2027</v>
      </c>
      <c r="I72" s="116">
        <f t="shared" si="63"/>
        <v>2028</v>
      </c>
      <c r="J72" s="116">
        <f t="shared" si="63"/>
        <v>2029</v>
      </c>
      <c r="K72" s="116">
        <f t="shared" si="63"/>
        <v>2030</v>
      </c>
      <c r="L72" s="116">
        <f t="shared" si="63"/>
        <v>2031</v>
      </c>
      <c r="M72" s="116">
        <f t="shared" si="63"/>
        <v>2032</v>
      </c>
      <c r="O72" s="12"/>
      <c r="P72" s="115"/>
      <c r="Q72" s="116">
        <v>2022</v>
      </c>
      <c r="R72" s="116">
        <f>+Q72+1</f>
        <v>2023</v>
      </c>
      <c r="S72" s="116">
        <f t="shared" ref="S72:AA72" si="64">+R72+1</f>
        <v>2024</v>
      </c>
      <c r="T72" s="116">
        <f t="shared" si="64"/>
        <v>2025</v>
      </c>
      <c r="U72" s="116">
        <f t="shared" si="64"/>
        <v>2026</v>
      </c>
      <c r="V72" s="116">
        <f t="shared" si="64"/>
        <v>2027</v>
      </c>
      <c r="W72" s="116">
        <f t="shared" si="64"/>
        <v>2028</v>
      </c>
      <c r="X72" s="116">
        <f t="shared" si="64"/>
        <v>2029</v>
      </c>
      <c r="Y72" s="116">
        <f t="shared" si="64"/>
        <v>2030</v>
      </c>
      <c r="Z72" s="116">
        <f t="shared" si="64"/>
        <v>2031</v>
      </c>
      <c r="AA72" s="116">
        <f t="shared" si="64"/>
        <v>2032</v>
      </c>
      <c r="AB72" s="12"/>
      <c r="AC72" s="12"/>
      <c r="AD72" s="115"/>
      <c r="AE72" s="116">
        <v>2022</v>
      </c>
      <c r="AF72" s="116">
        <f>+AE72+1</f>
        <v>2023</v>
      </c>
      <c r="AG72" s="116">
        <f t="shared" ref="AG72" si="65">+AF72+1</f>
        <v>2024</v>
      </c>
      <c r="AH72" s="116">
        <f t="shared" ref="AH72" si="66">+AG72+1</f>
        <v>2025</v>
      </c>
      <c r="AI72" s="116">
        <f t="shared" ref="AI72" si="67">+AH72+1</f>
        <v>2026</v>
      </c>
      <c r="AJ72" s="116">
        <f t="shared" ref="AJ72" si="68">+AI72+1</f>
        <v>2027</v>
      </c>
      <c r="AK72" s="116">
        <f t="shared" ref="AK72" si="69">+AJ72+1</f>
        <v>2028</v>
      </c>
      <c r="AL72" s="116">
        <f t="shared" ref="AL72" si="70">+AK72+1</f>
        <v>2029</v>
      </c>
      <c r="AM72" s="116">
        <f t="shared" ref="AM72" si="71">+AL72+1</f>
        <v>2030</v>
      </c>
    </row>
    <row r="73" spans="1:39" ht="15.75" customHeight="1" thickTop="1" thickBot="1" x14ac:dyDescent="0.25">
      <c r="A73" s="5"/>
      <c r="B73" s="308" t="s">
        <v>38</v>
      </c>
      <c r="C73" s="311" t="s">
        <v>20</v>
      </c>
      <c r="D73" s="311" t="s">
        <v>20</v>
      </c>
      <c r="E73" s="311" t="s">
        <v>20</v>
      </c>
      <c r="F73" s="311" t="s">
        <v>20</v>
      </c>
      <c r="G73" s="311" t="s">
        <v>20</v>
      </c>
      <c r="H73" s="311" t="s">
        <v>20</v>
      </c>
      <c r="I73" s="311" t="s">
        <v>20</v>
      </c>
      <c r="J73" s="113" t="s">
        <v>20</v>
      </c>
      <c r="K73" s="113" t="s">
        <v>20</v>
      </c>
      <c r="L73" s="113" t="s">
        <v>20</v>
      </c>
      <c r="M73" s="113" t="s">
        <v>20</v>
      </c>
      <c r="O73" s="12"/>
      <c r="P73" s="308" t="s">
        <v>38</v>
      </c>
      <c r="Q73" s="311" t="s">
        <v>20</v>
      </c>
      <c r="R73" s="311" t="s">
        <v>20</v>
      </c>
      <c r="S73" s="311" t="s">
        <v>20</v>
      </c>
      <c r="T73" s="311" t="s">
        <v>20</v>
      </c>
      <c r="U73" s="311" t="s">
        <v>20</v>
      </c>
      <c r="V73" s="311" t="s">
        <v>20</v>
      </c>
      <c r="W73" s="311" t="s">
        <v>20</v>
      </c>
      <c r="X73" s="113" t="s">
        <v>20</v>
      </c>
      <c r="Y73" s="113" t="s">
        <v>20</v>
      </c>
      <c r="Z73" s="113" t="s">
        <v>20</v>
      </c>
      <c r="AA73" s="113" t="s">
        <v>20</v>
      </c>
      <c r="AB73" s="12"/>
      <c r="AC73" s="12"/>
      <c r="AD73" s="308" t="s">
        <v>38</v>
      </c>
      <c r="AE73" s="309" t="s">
        <v>20</v>
      </c>
      <c r="AF73" s="309" t="s">
        <v>20</v>
      </c>
      <c r="AG73" s="309" t="s">
        <v>20</v>
      </c>
      <c r="AH73" s="309" t="s">
        <v>20</v>
      </c>
      <c r="AI73" s="309" t="s">
        <v>20</v>
      </c>
      <c r="AJ73" s="309" t="s">
        <v>20</v>
      </c>
      <c r="AK73" s="309" t="s">
        <v>20</v>
      </c>
      <c r="AL73" s="309" t="s">
        <v>20</v>
      </c>
      <c r="AM73" s="309" t="s">
        <v>20</v>
      </c>
    </row>
    <row r="74" spans="1:39" ht="15.75" customHeight="1" thickTop="1" thickBot="1" x14ac:dyDescent="0.25">
      <c r="A74" s="5"/>
      <c r="B74" s="82" t="s">
        <v>5</v>
      </c>
      <c r="C74" s="120">
        <f>SUMIFS(Data!$M$8:$M$300,Data!$G$8:$G$300,$B74,Data!$D$8:$D$300,C$72,Data!$E$8:$E$300,C$73)</f>
        <v>0</v>
      </c>
      <c r="D74" s="120">
        <f>SUMIFS(Data!$M$8:$M$300,Data!$G$8:$G$300,$B74,Data!$D$8:$D$300,D$72,Data!$E$8:$E$300,D$73)</f>
        <v>0</v>
      </c>
      <c r="E74" s="120">
        <f>SUMIFS(Data!$M$8:$M$300,Data!$G$8:$G$300,$B74,Data!$D$8:$D$300,E$72,Data!$E$8:$E$300,E$73)</f>
        <v>0</v>
      </c>
      <c r="F74" s="120">
        <f>SUMIFS(Data!$M$8:$M$300,Data!$G$8:$G$300,$B74,Data!$D$8:$D$300,F$72,Data!$E$8:$E$300,F$73)</f>
        <v>0</v>
      </c>
      <c r="G74" s="120">
        <f>SUMIFS(Data!$M$8:$M$300,Data!$G$8:$G$300,$B74,Data!$D$8:$D$300,G$72,Data!$E$8:$E$300,G$73)</f>
        <v>0</v>
      </c>
      <c r="H74" s="120">
        <f>SUMIFS(Data!$M$8:$M$300,Data!$G$8:$G$300,$B74,Data!$D$8:$D$300,H$72,Data!$E$8:$E$300,H$73)</f>
        <v>0</v>
      </c>
      <c r="I74" s="120">
        <f>SUMIFS(Data!$M$8:$M$300,Data!$G$8:$G$300,$B74,Data!$D$8:$D$300,I$72,Data!$E$8:$E$300,I$73)</f>
        <v>0</v>
      </c>
      <c r="J74" s="120">
        <f>SUMIFS(Data!$M$8:$M$300,Data!$G$8:$G$300,$B74,Data!$D$8:$D$300,J$72,Data!$E$8:$E$300,J$73)</f>
        <v>0</v>
      </c>
      <c r="K74" s="120">
        <f>SUMIFS(Data!$M$8:$M$300,Data!$G$8:$G$300,$B74,Data!$D$8:$D$300,K$72,Data!$E$8:$E$300,K$73)</f>
        <v>0</v>
      </c>
      <c r="L74" s="120">
        <f>SUMIFS(Data!$M$8:$M$300,Data!$G$8:$G$300,$B74,Data!$D$8:$D$300,L$72,Data!$E$8:$E$300,L$73)</f>
        <v>0</v>
      </c>
      <c r="M74" s="120">
        <f>SUMIFS(Data!$M$8:$M$300,Data!$G$8:$G$300,$B74,Data!$D$8:$D$300,M$72,Data!$E$8:$E$300,M$73)</f>
        <v>0</v>
      </c>
      <c r="O74" s="12"/>
      <c r="P74" s="82" t="s">
        <v>5</v>
      </c>
      <c r="Q74" s="120">
        <f>SUMIFS(Data!$M$8:$M$300,Data!$G$8:$G$300,$P74,Data!$D$8:$D$300,Q$72,Data!$E$8:$E$300,Q$73)</f>
        <v>0</v>
      </c>
      <c r="R74" s="120">
        <f>SUMIFS(Data!$M$8:$M$300,Data!$G$8:$G$300,$P74,Data!$D$8:$D$300,R$72,Data!$E$8:$E$300,R$73)</f>
        <v>0</v>
      </c>
      <c r="S74" s="120">
        <f>SUMIFS(Data!$M$8:$M$300,Data!$G$8:$G$300,$P74,Data!$D$8:$D$300,S$72,Data!$E$8:$E$300,S$73)</f>
        <v>0</v>
      </c>
      <c r="T74" s="120">
        <f>SUMIFS(Data!$M$8:$M$300,Data!$G$8:$G$300,$P74,Data!$D$8:$D$300,T$72,Data!$E$8:$E$300,T$73)</f>
        <v>0</v>
      </c>
      <c r="U74" s="120">
        <f>SUMIFS(Data!$M$8:$M$300,Data!$G$8:$G$300,$P74,Data!$D$8:$D$300,U$72,Data!$E$8:$E$300,U$73)</f>
        <v>0</v>
      </c>
      <c r="V74" s="120">
        <f>SUMIFS(Data!$M$8:$M$300,Data!$G$8:$G$300,$P74,Data!$D$8:$D$300,V$72,Data!$E$8:$E$300,V$73)</f>
        <v>0</v>
      </c>
      <c r="W74" s="120">
        <f>SUMIFS(Data!$M$8:$M$300,Data!$G$8:$G$300,$P74,Data!$D$8:$D$300,W$72,Data!$E$8:$E$300,W$73)</f>
        <v>0</v>
      </c>
      <c r="X74" s="120">
        <f>SUMIFS(Data!$M$8:$M$300,Data!$G$8:$G$300,$P74,Data!$D$8:$D$300,X$72,Data!$E$8:$E$300,X$73)</f>
        <v>0</v>
      </c>
      <c r="Y74" s="120">
        <f>SUMIFS(Data!$M$8:$M$300,Data!$G$8:$G$300,$P74,Data!$D$8:$D$300,Y$72,Data!$E$8:$E$300,Y$73)</f>
        <v>0</v>
      </c>
      <c r="Z74" s="120">
        <f>SUMIFS(Data!$M$8:$M$300,Data!$G$8:$G$300,$P74,Data!$D$8:$D$300,Z$72,Data!$E$8:$E$300,Z$73)</f>
        <v>0</v>
      </c>
      <c r="AA74" s="120">
        <f>SUMIFS(Data!$M$8:$M$300,Data!$G$8:$G$300,$P74,Data!$D$8:$D$300,AA$72,Data!$E$8:$E$300,AA$73)</f>
        <v>0</v>
      </c>
      <c r="AB74" s="12"/>
      <c r="AC74" s="12"/>
      <c r="AD74" s="82" t="s">
        <v>5</v>
      </c>
      <c r="AE74" s="120">
        <f>SUMIFS(Data!$M$8:$M$300,Data!$G$8:$G$300,$AD74,Data!$D$8:$D$300,AE$72,Data!$B$8:$B$300,$AE$69,Data!$E$8:$E$300,AE$73)</f>
        <v>0</v>
      </c>
      <c r="AF74" s="120">
        <f>SUMIFS(Data!$M$8:$M$300,Data!$G$8:$G$300,$AD74,Data!$D$8:$D$300,AF$72,Data!$B$8:$B$300,$AE$69,Data!$E$8:$E$300,AF$73)</f>
        <v>0</v>
      </c>
      <c r="AG74" s="120">
        <f>SUMIFS(Data!$M$8:$M$300,Data!$G$8:$G$300,$AD74,Data!$D$8:$D$300,AG$72,Data!$B$8:$B$300,$AE$69,Data!$E$8:$E$300,AG$73)</f>
        <v>0</v>
      </c>
      <c r="AH74" s="120">
        <f>SUMIFS(Data!$M$8:$M$300,Data!$G$8:$G$300,$AD74,Data!$D$8:$D$300,AH$72,Data!$B$8:$B$300,$AE$69,Data!$E$8:$E$300,AH$73)</f>
        <v>0</v>
      </c>
      <c r="AI74" s="120">
        <f>SUMIFS(Data!$M$8:$M$300,Data!$G$8:$G$300,$AD74,Data!$D$8:$D$300,AI$72,Data!$B$8:$B$300,$AE$69,Data!$E$8:$E$300,AI$73)</f>
        <v>0</v>
      </c>
      <c r="AJ74" s="120">
        <f>SUMIFS(Data!$M$8:$M$300,Data!$G$8:$G$300,$AD74,Data!$D$8:$D$300,AJ$72,Data!$B$8:$B$300,$AE$69,Data!$E$8:$E$300,AJ$73)</f>
        <v>0</v>
      </c>
      <c r="AK74" s="120">
        <f>SUMIFS(Data!$M$8:$M$300,Data!$G$8:$G$300,$AD74,Data!$D$8:$D$300,AK$72,Data!$B$8:$B$300,$AE$69,Data!$E$8:$E$300,AK$73)</f>
        <v>0</v>
      </c>
      <c r="AL74" s="120">
        <f>SUMIFS(Data!$M$8:$M$300,Data!$G$8:$G$300,$AD74,Data!$D$8:$D$300,AL$72,Data!$B$8:$B$300,$AE$69,Data!$E$8:$E$300,AL$73)</f>
        <v>0</v>
      </c>
      <c r="AM74" s="120">
        <f>SUMIFS(Data!$M$8:$M$300,Data!$G$8:$G$300,$AD74,Data!$D$8:$D$300,AM$72,Data!$B$8:$B$300,$AE$69,Data!$E$8:$E$300,AM$73)</f>
        <v>0</v>
      </c>
    </row>
    <row r="75" spans="1:39" ht="15.75" customHeight="1" thickTop="1" thickBot="1" x14ac:dyDescent="0.25">
      <c r="A75" s="5"/>
      <c r="B75" s="86" t="s">
        <v>81</v>
      </c>
      <c r="C75" s="120">
        <f>SUMIFS(Data!$M$8:$M$300,Data!$G$8:$G$300,$B75,Data!$D$8:$D$300,C$72,Data!$E$8:$E$300,C$73)</f>
        <v>0</v>
      </c>
      <c r="D75" s="120">
        <f>SUMIFS(Data!$M$8:$M$300,Data!$G$8:$G$300,$B75,Data!$D$8:$D$300,D$72,Data!$E$8:$E$300,D$73)</f>
        <v>0</v>
      </c>
      <c r="E75" s="120">
        <f>SUMIFS(Data!$M$8:$M$300,Data!$G$8:$G$300,$B75,Data!$D$8:$D$300,E$72,Data!$E$8:$E$300,E$73)</f>
        <v>0</v>
      </c>
      <c r="F75" s="120">
        <f>SUMIFS(Data!$M$8:$M$300,Data!$G$8:$G$300,$B75,Data!$D$8:$D$300,F$72,Data!$E$8:$E$300,F$73)</f>
        <v>0</v>
      </c>
      <c r="G75" s="120">
        <f>SUMIFS(Data!$M$8:$M$300,Data!$G$8:$G$300,$B75,Data!$D$8:$D$300,G$72,Data!$E$8:$E$300,G$73)</f>
        <v>0</v>
      </c>
      <c r="H75" s="120">
        <f>SUMIFS(Data!$M$8:$M$300,Data!$G$8:$G$300,$B75,Data!$D$8:$D$300,H$72,Data!$E$8:$E$300,H$73)</f>
        <v>0</v>
      </c>
      <c r="I75" s="120">
        <f>SUMIFS(Data!$M$8:$M$300,Data!$G$8:$G$300,$B75,Data!$D$8:$D$300,I$72,Data!$E$8:$E$300,I$73)</f>
        <v>0</v>
      </c>
      <c r="J75" s="120">
        <f>SUMIFS(Data!$M$8:$M$300,Data!$G$8:$G$300,$B75,Data!$D$8:$D$300,J$72,Data!$E$8:$E$300,J$73)</f>
        <v>0</v>
      </c>
      <c r="K75" s="120">
        <f>SUMIFS(Data!$M$8:$M$300,Data!$G$8:$G$300,$B75,Data!$D$8:$D$300,K$72,Data!$E$8:$E$300,K$73)</f>
        <v>0</v>
      </c>
      <c r="L75" s="120">
        <f>SUMIFS(Data!$M$8:$M$300,Data!$G$8:$G$300,$B75,Data!$D$8:$D$300,L$72,Data!$E$8:$E$300,L$73)</f>
        <v>0</v>
      </c>
      <c r="M75" s="120">
        <f>SUMIFS(Data!$M$8:$M$300,Data!$G$8:$G$300,$B75,Data!$D$8:$D$300,M$72,Data!$E$8:$E$300,M$73)</f>
        <v>0</v>
      </c>
      <c r="O75" s="12"/>
      <c r="P75" s="86" t="s">
        <v>81</v>
      </c>
      <c r="Q75" s="120">
        <f>SUMIFS(Data!$M$8:$M$300,Data!$G$8:$G$300,$P75,Data!$D$8:$D$300,Q$72,Data!$E$8:$E$300,Q$73)</f>
        <v>0</v>
      </c>
      <c r="R75" s="120">
        <f>SUMIFS(Data!$M$8:$M$300,Data!$G$8:$G$300,$P75,Data!$D$8:$D$300,R$72,Data!$E$8:$E$300,R$73)</f>
        <v>0</v>
      </c>
      <c r="S75" s="120">
        <f>SUMIFS(Data!$M$8:$M$300,Data!$G$8:$G$300,$P75,Data!$D$8:$D$300,S$72,Data!$E$8:$E$300,S$73)</f>
        <v>0</v>
      </c>
      <c r="T75" s="120">
        <f>SUMIFS(Data!$M$8:$M$300,Data!$G$8:$G$300,$P75,Data!$D$8:$D$300,T$72,Data!$E$8:$E$300,T$73)</f>
        <v>0</v>
      </c>
      <c r="U75" s="120">
        <f>SUMIFS(Data!$M$8:$M$300,Data!$G$8:$G$300,$P75,Data!$D$8:$D$300,U$72,Data!$E$8:$E$300,U$73)</f>
        <v>0</v>
      </c>
      <c r="V75" s="120">
        <f>SUMIFS(Data!$M$8:$M$300,Data!$G$8:$G$300,$P75,Data!$D$8:$D$300,V$72,Data!$E$8:$E$300,V$73)</f>
        <v>0</v>
      </c>
      <c r="W75" s="120">
        <f>SUMIFS(Data!$M$8:$M$300,Data!$G$8:$G$300,$P75,Data!$D$8:$D$300,W$72,Data!$E$8:$E$300,W$73)</f>
        <v>0</v>
      </c>
      <c r="X75" s="120">
        <f>SUMIFS(Data!$M$8:$M$300,Data!$G$8:$G$300,$P75,Data!$D$8:$D$300,X$72,Data!$E$8:$E$300,X$73)</f>
        <v>0</v>
      </c>
      <c r="Y75" s="120">
        <f>SUMIFS(Data!$M$8:$M$300,Data!$G$8:$G$300,$P75,Data!$D$8:$D$300,Y$72,Data!$E$8:$E$300,Y$73)</f>
        <v>0</v>
      </c>
      <c r="Z75" s="120">
        <f>SUMIFS(Data!$M$8:$M$300,Data!$G$8:$G$300,$P75,Data!$D$8:$D$300,Z$72,Data!$E$8:$E$300,Z$73)</f>
        <v>0</v>
      </c>
      <c r="AA75" s="120">
        <f>SUMIFS(Data!$M$8:$M$300,Data!$G$8:$G$300,$P75,Data!$D$8:$D$300,AA$72,Data!$E$8:$E$300,AA$73)</f>
        <v>0</v>
      </c>
      <c r="AB75" s="12"/>
      <c r="AC75" s="12"/>
      <c r="AD75" s="86" t="s">
        <v>81</v>
      </c>
      <c r="AE75" s="120">
        <f>SUMIFS(Data!$M$8:$M$300,Data!$G$8:$G$300,$AD75,Data!$D$8:$D$300,AE$72,Data!$B$8:$B$300,$AE$69,Data!$E$8:$E$300,AE$73)</f>
        <v>0</v>
      </c>
      <c r="AF75" s="120">
        <f>SUMIFS(Data!$M$8:$M$300,Data!$G$8:$G$300,$AD75,Data!$D$8:$D$300,AF$72,Data!$B$8:$B$300,$AE$69,Data!$E$8:$E$300,AF$73)</f>
        <v>0</v>
      </c>
      <c r="AG75" s="120">
        <f>SUMIFS(Data!$M$8:$M$300,Data!$G$8:$G$300,$AD75,Data!$D$8:$D$300,AG$72,Data!$B$8:$B$300,$AE$69,Data!$E$8:$E$300,AG$73)</f>
        <v>0</v>
      </c>
      <c r="AH75" s="120">
        <f>SUMIFS(Data!$M$8:$M$300,Data!$G$8:$G$300,$AD75,Data!$D$8:$D$300,AH$72,Data!$B$8:$B$300,$AE$69,Data!$E$8:$E$300,AH$73)</f>
        <v>0</v>
      </c>
      <c r="AI75" s="120">
        <f>SUMIFS(Data!$M$8:$M$300,Data!$G$8:$G$300,$AD75,Data!$D$8:$D$300,AI$72,Data!$B$8:$B$300,$AE$69,Data!$E$8:$E$300,AI$73)</f>
        <v>0</v>
      </c>
      <c r="AJ75" s="120">
        <f>SUMIFS(Data!$M$8:$M$300,Data!$G$8:$G$300,$AD75,Data!$D$8:$D$300,AJ$72,Data!$B$8:$B$300,$AE$69,Data!$E$8:$E$300,AJ$73)</f>
        <v>0</v>
      </c>
      <c r="AK75" s="120">
        <f>SUMIFS(Data!$M$8:$M$300,Data!$G$8:$G$300,$AD75,Data!$D$8:$D$300,AK$72,Data!$B$8:$B$300,$AE$69,Data!$E$8:$E$300,AK$73)</f>
        <v>0</v>
      </c>
      <c r="AL75" s="120">
        <f>SUMIFS(Data!$M$8:$M$300,Data!$G$8:$G$300,$AD75,Data!$D$8:$D$300,AL$72,Data!$B$8:$B$300,$AE$69,Data!$E$8:$E$300,AL$73)</f>
        <v>0</v>
      </c>
      <c r="AM75" s="120">
        <f>SUMIFS(Data!$M$8:$M$300,Data!$G$8:$G$300,$AD75,Data!$D$8:$D$300,AM$72,Data!$B$8:$B$300,$AE$69,Data!$E$8:$E$300,AM$73)</f>
        <v>0</v>
      </c>
    </row>
    <row r="76" spans="1:39" ht="15.75" customHeight="1" thickTop="1" thickBot="1" x14ac:dyDescent="0.25">
      <c r="A76" s="5"/>
      <c r="B76" s="86" t="s">
        <v>82</v>
      </c>
      <c r="C76" s="120">
        <f>SUMIFS(Data!$M$8:$M$300,Data!$G$8:$G$300,$B76,Data!$D$8:$D$300,C$72,Data!$E$8:$E$300,C$73)</f>
        <v>0</v>
      </c>
      <c r="D76" s="120">
        <f>SUMIFS(Data!$M$8:$M$300,Data!$G$8:$G$300,$B76,Data!$D$8:$D$300,D$72,Data!$E$8:$E$300,D$73)</f>
        <v>0</v>
      </c>
      <c r="E76" s="120">
        <f>SUMIFS(Data!$M$8:$M$300,Data!$G$8:$G$300,$B76,Data!$D$8:$D$300,E$72,Data!$E$8:$E$300,E$73)</f>
        <v>0</v>
      </c>
      <c r="F76" s="120">
        <f>SUMIFS(Data!$M$8:$M$300,Data!$G$8:$G$300,$B76,Data!$D$8:$D$300,F$72,Data!$E$8:$E$300,F$73)</f>
        <v>0</v>
      </c>
      <c r="G76" s="120">
        <f>SUMIFS(Data!$M$8:$M$300,Data!$G$8:$G$300,$B76,Data!$D$8:$D$300,G$72,Data!$E$8:$E$300,G$73)</f>
        <v>0</v>
      </c>
      <c r="H76" s="120">
        <f>SUMIFS(Data!$M$8:$M$300,Data!$G$8:$G$300,$B76,Data!$D$8:$D$300,H$72,Data!$E$8:$E$300,H$73)</f>
        <v>0</v>
      </c>
      <c r="I76" s="120">
        <f>SUMIFS(Data!$M$8:$M$300,Data!$G$8:$G$300,$B76,Data!$D$8:$D$300,I$72,Data!$E$8:$E$300,I$73)</f>
        <v>0</v>
      </c>
      <c r="J76" s="120">
        <f>SUMIFS(Data!$M$8:$M$300,Data!$G$8:$G$300,$B76,Data!$D$8:$D$300,J$72,Data!$E$8:$E$300,J$73)</f>
        <v>0</v>
      </c>
      <c r="K76" s="120">
        <f>SUMIFS(Data!$M$8:$M$300,Data!$G$8:$G$300,$B76,Data!$D$8:$D$300,K$72,Data!$E$8:$E$300,K$73)</f>
        <v>0</v>
      </c>
      <c r="L76" s="120">
        <f>SUMIFS(Data!$M$8:$M$300,Data!$G$8:$G$300,$B76,Data!$D$8:$D$300,L$72,Data!$E$8:$E$300,L$73)</f>
        <v>0</v>
      </c>
      <c r="M76" s="120">
        <f>SUMIFS(Data!$M$8:$M$300,Data!$G$8:$G$300,$B76,Data!$D$8:$D$300,M$72,Data!$E$8:$E$300,M$73)</f>
        <v>0</v>
      </c>
      <c r="O76" s="12"/>
      <c r="P76" s="86" t="s">
        <v>82</v>
      </c>
      <c r="Q76" s="120">
        <f>SUMIFS(Data!$M$8:$M$300,Data!$G$8:$G$300,$P76,Data!$D$8:$D$300,Q$72,Data!$E$8:$E$300,Q$73)</f>
        <v>0</v>
      </c>
      <c r="R76" s="120">
        <f>SUMIFS(Data!$M$8:$M$300,Data!$G$8:$G$300,$P76,Data!$D$8:$D$300,R$72,Data!$E$8:$E$300,R$73)</f>
        <v>0</v>
      </c>
      <c r="S76" s="120">
        <f>SUMIFS(Data!$M$8:$M$300,Data!$G$8:$G$300,$P76,Data!$D$8:$D$300,S$72,Data!$E$8:$E$300,S$73)</f>
        <v>0</v>
      </c>
      <c r="T76" s="120">
        <f>SUMIFS(Data!$M$8:$M$300,Data!$G$8:$G$300,$P76,Data!$D$8:$D$300,T$72,Data!$E$8:$E$300,T$73)</f>
        <v>0</v>
      </c>
      <c r="U76" s="120">
        <f>SUMIFS(Data!$M$8:$M$300,Data!$G$8:$G$300,$P76,Data!$D$8:$D$300,U$72,Data!$E$8:$E$300,U$73)</f>
        <v>0</v>
      </c>
      <c r="V76" s="120">
        <f>SUMIFS(Data!$M$8:$M$300,Data!$G$8:$G$300,$P76,Data!$D$8:$D$300,V$72,Data!$E$8:$E$300,V$73)</f>
        <v>0</v>
      </c>
      <c r="W76" s="120">
        <f>SUMIFS(Data!$M$8:$M$300,Data!$G$8:$G$300,$P76,Data!$D$8:$D$300,W$72,Data!$E$8:$E$300,W$73)</f>
        <v>0</v>
      </c>
      <c r="X76" s="120">
        <f>SUMIFS(Data!$M$8:$M$300,Data!$G$8:$G$300,$P76,Data!$D$8:$D$300,X$72,Data!$E$8:$E$300,X$73)</f>
        <v>0</v>
      </c>
      <c r="Y76" s="120">
        <f>SUMIFS(Data!$M$8:$M$300,Data!$G$8:$G$300,$P76,Data!$D$8:$D$300,Y$72,Data!$E$8:$E$300,Y$73)</f>
        <v>0</v>
      </c>
      <c r="Z76" s="120">
        <f>SUMIFS(Data!$M$8:$M$300,Data!$G$8:$G$300,$P76,Data!$D$8:$D$300,Z$72,Data!$E$8:$E$300,Z$73)</f>
        <v>0</v>
      </c>
      <c r="AA76" s="120">
        <f>SUMIFS(Data!$M$8:$M$300,Data!$G$8:$G$300,$P76,Data!$D$8:$D$300,AA$72,Data!$E$8:$E$300,AA$73)</f>
        <v>0</v>
      </c>
      <c r="AB76" s="12"/>
      <c r="AC76" s="12"/>
      <c r="AD76" s="86" t="s">
        <v>82</v>
      </c>
      <c r="AE76" s="120">
        <f>SUMIFS(Data!$M$8:$M$300,Data!$G$8:$G$300,$AD76,Data!$D$8:$D$300,AE$72,Data!$B$8:$B$300,$AE$69,Data!$E$8:$E$300,AE$73)</f>
        <v>0</v>
      </c>
      <c r="AF76" s="120">
        <f>SUMIFS(Data!$M$8:$M$300,Data!$G$8:$G$300,$AD76,Data!$D$8:$D$300,AF$72,Data!$B$8:$B$300,$AE$69,Data!$E$8:$E$300,AF$73)</f>
        <v>0</v>
      </c>
      <c r="AG76" s="120">
        <f>SUMIFS(Data!$M$8:$M$300,Data!$G$8:$G$300,$AD76,Data!$D$8:$D$300,AG$72,Data!$B$8:$B$300,$AE$69,Data!$E$8:$E$300,AG$73)</f>
        <v>0</v>
      </c>
      <c r="AH76" s="120">
        <f>SUMIFS(Data!$M$8:$M$300,Data!$G$8:$G$300,$AD76,Data!$D$8:$D$300,AH$72,Data!$B$8:$B$300,$AE$69,Data!$E$8:$E$300,AH$73)</f>
        <v>0</v>
      </c>
      <c r="AI76" s="120">
        <f>SUMIFS(Data!$M$8:$M$300,Data!$G$8:$G$300,$AD76,Data!$D$8:$D$300,AI$72,Data!$B$8:$B$300,$AE$69,Data!$E$8:$E$300,AI$73)</f>
        <v>0</v>
      </c>
      <c r="AJ76" s="120">
        <f>SUMIFS(Data!$M$8:$M$300,Data!$G$8:$G$300,$AD76,Data!$D$8:$D$300,AJ$72,Data!$B$8:$B$300,$AE$69,Data!$E$8:$E$300,AJ$73)</f>
        <v>0</v>
      </c>
      <c r="AK76" s="120">
        <f>SUMIFS(Data!$M$8:$M$300,Data!$G$8:$G$300,$AD76,Data!$D$8:$D$300,AK$72,Data!$B$8:$B$300,$AE$69,Data!$E$8:$E$300,AK$73)</f>
        <v>0</v>
      </c>
      <c r="AL76" s="120">
        <f>SUMIFS(Data!$M$8:$M$300,Data!$G$8:$G$300,$AD76,Data!$D$8:$D$300,AL$72,Data!$B$8:$B$300,$AE$69,Data!$E$8:$E$300,AL$73)</f>
        <v>0</v>
      </c>
      <c r="AM76" s="120">
        <f>SUMIFS(Data!$M$8:$M$300,Data!$G$8:$G$300,$AD76,Data!$D$8:$D$300,AM$72,Data!$B$8:$B$300,$AE$69,Data!$E$8:$E$300,AM$73)</f>
        <v>0</v>
      </c>
    </row>
    <row r="77" spans="1:39" ht="15.75" customHeight="1" thickTop="1" thickBot="1" x14ac:dyDescent="0.25">
      <c r="A77" s="12"/>
      <c r="B77" s="177" t="s">
        <v>92</v>
      </c>
      <c r="C77" s="120">
        <f>SUMIFS(Data!$M$8:$M$300,Data!$G$8:$G$300,$B77,Data!$D$8:$D$300,C$72,Data!$E$8:$E$300,C$73)</f>
        <v>0</v>
      </c>
      <c r="D77" s="120">
        <f>SUMIFS(Data!$M$8:$M$300,Data!$G$8:$G$300,$B77,Data!$D$8:$D$300,D$72,Data!$E$8:$E$300,D$73)</f>
        <v>0</v>
      </c>
      <c r="E77" s="120">
        <f>SUMIFS(Data!$M$8:$M$300,Data!$G$8:$G$300,$B77,Data!$D$8:$D$300,E$72,Data!$E$8:$E$300,E$73)</f>
        <v>0</v>
      </c>
      <c r="F77" s="120">
        <f>SUMIFS(Data!$M$8:$M$300,Data!$G$8:$G$300,$B77,Data!$D$8:$D$300,F$72,Data!$E$8:$E$300,F$73)</f>
        <v>0</v>
      </c>
      <c r="G77" s="120">
        <f>SUMIFS(Data!$M$8:$M$300,Data!$G$8:$G$300,$B77,Data!$D$8:$D$300,G$72,Data!$E$8:$E$300,G$73)</f>
        <v>0</v>
      </c>
      <c r="H77" s="120">
        <f>SUMIFS(Data!$M$8:$M$300,Data!$G$8:$G$300,$B77,Data!$D$8:$D$300,H$72,Data!$E$8:$E$300,H$73)</f>
        <v>0</v>
      </c>
      <c r="I77" s="120">
        <f>SUMIFS(Data!$M$8:$M$300,Data!$G$8:$G$300,$B77,Data!$D$8:$D$300,I$72,Data!$E$8:$E$300,I$73)</f>
        <v>0</v>
      </c>
      <c r="J77" s="120">
        <f>SUMIFS(Data!$M$8:$M$300,Data!$G$8:$G$300,$B77,Data!$D$8:$D$300,J$72,Data!$E$8:$E$300,J$73)</f>
        <v>0</v>
      </c>
      <c r="K77" s="120">
        <f>SUMIFS(Data!$M$8:$M$300,Data!$G$8:$G$300,$B77,Data!$D$8:$D$300,K$72,Data!$E$8:$E$300,K$73)</f>
        <v>0</v>
      </c>
      <c r="L77" s="120">
        <f>SUMIFS(Data!$M$8:$M$300,Data!$G$8:$G$300,$B77,Data!$D$8:$D$300,L$72,Data!$E$8:$E$300,L$73)</f>
        <v>0</v>
      </c>
      <c r="M77" s="120">
        <f>SUMIFS(Data!$M$8:$M$300,Data!$G$8:$G$300,$B77,Data!$D$8:$D$300,M$72,Data!$E$8:$E$300,M$73)</f>
        <v>0</v>
      </c>
      <c r="O77" s="11"/>
      <c r="P77" s="177" t="s">
        <v>92</v>
      </c>
      <c r="Q77" s="120">
        <f>SUMIFS(Data!$M$8:$M$300,Data!$G$8:$G$300,$P77,Data!$D$8:$D$300,Q$72,Data!$E$8:$E$300,Q$73)</f>
        <v>0</v>
      </c>
      <c r="R77" s="120">
        <f>SUMIFS(Data!$M$8:$M$300,Data!$G$8:$G$300,$P77,Data!$D$8:$D$300,R$72,Data!$E$8:$E$300,R$73)</f>
        <v>0</v>
      </c>
      <c r="S77" s="120">
        <f>SUMIFS(Data!$M$8:$M$300,Data!$G$8:$G$300,$P77,Data!$D$8:$D$300,S$72,Data!$E$8:$E$300,S$73)</f>
        <v>0</v>
      </c>
      <c r="T77" s="120">
        <f>SUMIFS(Data!$M$8:$M$300,Data!$G$8:$G$300,$P77,Data!$D$8:$D$300,T$72,Data!$E$8:$E$300,T$73)</f>
        <v>0</v>
      </c>
      <c r="U77" s="120">
        <f>SUMIFS(Data!$M$8:$M$300,Data!$G$8:$G$300,$P77,Data!$D$8:$D$300,U$72,Data!$E$8:$E$300,U$73)</f>
        <v>0</v>
      </c>
      <c r="V77" s="120">
        <f>SUMIFS(Data!$M$8:$M$300,Data!$G$8:$G$300,$P77,Data!$D$8:$D$300,V$72,Data!$E$8:$E$300,V$73)</f>
        <v>0</v>
      </c>
      <c r="W77" s="120">
        <f>SUMIFS(Data!$M$8:$M$300,Data!$G$8:$G$300,$P77,Data!$D$8:$D$300,W$72,Data!$E$8:$E$300,W$73)</f>
        <v>0</v>
      </c>
      <c r="X77" s="214"/>
      <c r="Y77" s="214"/>
      <c r="Z77" s="214"/>
      <c r="AA77" s="214"/>
      <c r="AB77" s="12"/>
      <c r="AC77" s="12"/>
      <c r="AD77" s="177" t="s">
        <v>92</v>
      </c>
      <c r="AE77" s="120">
        <f>SUMIFS(Data!$M$8:$M$300,Data!$G$8:$G$300,$AD77,Data!$D$8:$D$300,AE$72,Data!$B$8:$B$300,$AE$69,Data!$E$8:$E$300,AE$73)</f>
        <v>0</v>
      </c>
      <c r="AF77" s="120">
        <f>SUMIFS(Data!$M$8:$M$300,Data!$G$8:$G$300,$AD77,Data!$D$8:$D$300,AF$72,Data!$B$8:$B$300,$AE$69,Data!$E$8:$E$300,AF$73)</f>
        <v>0</v>
      </c>
      <c r="AG77" s="120">
        <f>SUMIFS(Data!$M$8:$M$300,Data!$G$8:$G$300,$AD77,Data!$D$8:$D$300,AG$72,Data!$B$8:$B$300,$AE$69,Data!$E$8:$E$300,AG$73)</f>
        <v>0</v>
      </c>
      <c r="AH77" s="120">
        <f>SUMIFS(Data!$M$8:$M$300,Data!$G$8:$G$300,$AD77,Data!$D$8:$D$300,AH$72,Data!$B$8:$B$300,$AE$69,Data!$E$8:$E$300,AH$73)</f>
        <v>0</v>
      </c>
      <c r="AI77" s="120">
        <f>SUMIFS(Data!$M$8:$M$300,Data!$G$8:$G$300,$AD77,Data!$D$8:$D$300,AI$72,Data!$B$8:$B$300,$AE$69,Data!$E$8:$E$300,AI$73)</f>
        <v>0</v>
      </c>
      <c r="AJ77" s="120">
        <f>SUMIFS(Data!$M$8:$M$300,Data!$G$8:$G$300,$AD77,Data!$D$8:$D$300,AJ$72,Data!$B$8:$B$300,$AE$69,Data!$E$8:$E$300,AJ$73)</f>
        <v>0</v>
      </c>
      <c r="AK77" s="120">
        <f>SUMIFS(Data!$M$8:$M$300,Data!$G$8:$G$300,$AD77,Data!$D$8:$D$300,AK$72,Data!$B$8:$B$300,$AE$69,Data!$E$8:$E$300,AK$73)</f>
        <v>0</v>
      </c>
      <c r="AL77" s="120">
        <f>SUMIFS(Data!$M$8:$M$300,Data!$G$8:$G$300,$AD77,Data!$D$8:$D$300,AL$72,Data!$B$8:$B$300,$AE$69,Data!$E$8:$E$300,AL$73)</f>
        <v>0</v>
      </c>
      <c r="AM77" s="120">
        <f>SUMIFS(Data!$M$8:$M$300,Data!$G$8:$G$300,$AD77,Data!$D$8:$D$300,AM$72,Data!$B$8:$B$300,$AE$69,Data!$E$8:$E$300,AM$73)</f>
        <v>0</v>
      </c>
    </row>
    <row r="78" spans="1:39" ht="15.75" customHeight="1" thickTop="1" thickBot="1" x14ac:dyDescent="0.25">
      <c r="A78" s="5"/>
      <c r="B78" s="117" t="s">
        <v>50</v>
      </c>
      <c r="C78" s="118">
        <f t="shared" ref="C78:I78" si="72">SUM(C74:C77)</f>
        <v>0</v>
      </c>
      <c r="D78" s="118">
        <f t="shared" si="72"/>
        <v>0</v>
      </c>
      <c r="E78" s="118">
        <f t="shared" si="72"/>
        <v>0</v>
      </c>
      <c r="F78" s="118">
        <f t="shared" si="72"/>
        <v>0</v>
      </c>
      <c r="G78" s="118">
        <f t="shared" si="72"/>
        <v>0</v>
      </c>
      <c r="H78" s="118">
        <f t="shared" si="72"/>
        <v>0</v>
      </c>
      <c r="I78" s="118">
        <f t="shared" si="72"/>
        <v>0</v>
      </c>
      <c r="J78" s="118">
        <f>SUM(J74:J76)</f>
        <v>0</v>
      </c>
      <c r="K78" s="118">
        <f>SUM(K74:K76)</f>
        <v>0</v>
      </c>
      <c r="L78" s="118">
        <f>SUM(L74:L76)</f>
        <v>0</v>
      </c>
      <c r="M78" s="119">
        <f>SUM(M74:M76)</f>
        <v>0</v>
      </c>
      <c r="O78" s="12"/>
      <c r="P78" s="117" t="s">
        <v>50</v>
      </c>
      <c r="Q78" s="118">
        <f t="shared" ref="Q78:W78" si="73">SUM(Q74:Q77)</f>
        <v>0</v>
      </c>
      <c r="R78" s="118">
        <f t="shared" si="73"/>
        <v>0</v>
      </c>
      <c r="S78" s="118">
        <f t="shared" si="73"/>
        <v>0</v>
      </c>
      <c r="T78" s="118">
        <f t="shared" si="73"/>
        <v>0</v>
      </c>
      <c r="U78" s="118">
        <f t="shared" si="73"/>
        <v>0</v>
      </c>
      <c r="V78" s="118">
        <f t="shared" si="73"/>
        <v>0</v>
      </c>
      <c r="W78" s="118">
        <f t="shared" si="73"/>
        <v>0</v>
      </c>
      <c r="X78" s="118">
        <f>SUM(X74:X76)</f>
        <v>0</v>
      </c>
      <c r="Y78" s="118">
        <f>SUM(Y74:Y76)</f>
        <v>0</v>
      </c>
      <c r="Z78" s="118">
        <f>SUM(Z74:Z76)</f>
        <v>0</v>
      </c>
      <c r="AA78" s="118">
        <f>SUM(AA74:AA76)</f>
        <v>0</v>
      </c>
      <c r="AB78" s="12"/>
      <c r="AC78" s="12"/>
      <c r="AD78" s="117" t="s">
        <v>50</v>
      </c>
      <c r="AE78" s="118">
        <f t="shared" ref="AE78:AK78" si="74">SUM(AE74:AE77)</f>
        <v>0</v>
      </c>
      <c r="AF78" s="118">
        <f t="shared" si="74"/>
        <v>0</v>
      </c>
      <c r="AG78" s="118">
        <f t="shared" si="74"/>
        <v>0</v>
      </c>
      <c r="AH78" s="118">
        <f t="shared" si="74"/>
        <v>0</v>
      </c>
      <c r="AI78" s="118">
        <f t="shared" si="74"/>
        <v>0</v>
      </c>
      <c r="AJ78" s="118">
        <f t="shared" si="74"/>
        <v>0</v>
      </c>
      <c r="AK78" s="118">
        <f t="shared" si="74"/>
        <v>0</v>
      </c>
      <c r="AL78" s="118">
        <f>SUM(AL74:AL76)</f>
        <v>0</v>
      </c>
      <c r="AM78" s="118">
        <f>SUM(AM74:AM76)</f>
        <v>0</v>
      </c>
    </row>
    <row r="79" spans="1:39" ht="15.75" customHeight="1" thickTop="1" thickBot="1" x14ac:dyDescent="0.25">
      <c r="A79" s="5"/>
      <c r="B79" s="310" t="s">
        <v>42</v>
      </c>
      <c r="C79" s="311"/>
      <c r="D79" s="311"/>
      <c r="E79" s="311"/>
      <c r="F79" s="311"/>
      <c r="G79" s="311"/>
      <c r="H79" s="311"/>
      <c r="I79" s="311"/>
      <c r="J79" s="113"/>
      <c r="K79" s="113"/>
      <c r="L79" s="113"/>
      <c r="M79" s="114"/>
      <c r="O79" s="12"/>
      <c r="P79" s="310" t="s">
        <v>42</v>
      </c>
      <c r="Q79" s="311"/>
      <c r="R79" s="311"/>
      <c r="S79" s="311"/>
      <c r="T79" s="311"/>
      <c r="U79" s="311"/>
      <c r="V79" s="311"/>
      <c r="W79" s="311"/>
      <c r="X79" s="113"/>
      <c r="Y79" s="113"/>
      <c r="Z79" s="113"/>
      <c r="AA79" s="113"/>
      <c r="AB79" s="12"/>
      <c r="AC79" s="12"/>
      <c r="AD79" s="310" t="s">
        <v>42</v>
      </c>
      <c r="AE79" s="311"/>
      <c r="AF79" s="311"/>
      <c r="AG79" s="311"/>
      <c r="AH79" s="311"/>
      <c r="AI79" s="311"/>
      <c r="AJ79" s="311"/>
      <c r="AK79" s="311"/>
      <c r="AL79" s="311"/>
      <c r="AM79" s="311"/>
    </row>
    <row r="80" spans="1:39" ht="15.75" customHeight="1" thickTop="1" thickBot="1" x14ac:dyDescent="0.25">
      <c r="A80" s="5"/>
      <c r="B80" s="101" t="s">
        <v>29</v>
      </c>
      <c r="C80" s="120">
        <f>SUMIFS(Data!$M$8:$M$300,Data!$G$8:$G$300,$B80,Data!$D$8:$D$300,C$72,Data!$E$8:$E$300,C$73)</f>
        <v>0</v>
      </c>
      <c r="D80" s="120">
        <f>SUMIFS(Data!$M$8:$M$300,Data!$G$8:$G$300,$B80,Data!$D$8:$D$300,D$72,Data!$E$8:$E$300,D$73)</f>
        <v>0</v>
      </c>
      <c r="E80" s="120">
        <f>SUMIFS(Data!$M$8:$M$300,Data!$G$8:$G$300,$B80,Data!$D$8:$D$300,E$72,Data!$E$8:$E$300,E$73)</f>
        <v>0</v>
      </c>
      <c r="F80" s="120">
        <f>SUMIFS(Data!$M$8:$M$300,Data!$G$8:$G$300,$B80,Data!$D$8:$D$300,F$72,Data!$E$8:$E$300,F$73)</f>
        <v>0</v>
      </c>
      <c r="G80" s="120">
        <f>SUMIFS(Data!$M$8:$M$300,Data!$G$8:$G$300,$B80,Data!$D$8:$D$300,G$72,Data!$E$8:$E$300,G$73)</f>
        <v>0</v>
      </c>
      <c r="H80" s="120">
        <f>SUMIFS(Data!$M$8:$M$300,Data!$G$8:$G$300,$B80,Data!$D$8:$D$300,H$72,Data!$E$8:$E$300,H$73)</f>
        <v>0</v>
      </c>
      <c r="I80" s="120">
        <f>SUMIFS(Data!$M$8:$M$300,Data!$G$8:$G$300,$B80,Data!$D$8:$D$300,I$72,Data!$E$8:$E$300,I$73)</f>
        <v>0</v>
      </c>
      <c r="J80" s="120">
        <f>SUMIFS(Data!$M$8:$M$300,Data!$G$8:$G$300,$B80,Data!$D$8:$D$300,J$72,Data!$E$8:$E$300,J$73)</f>
        <v>0</v>
      </c>
      <c r="K80" s="120">
        <f>SUMIFS(Data!$M$8:$M$300,Data!$G$8:$G$300,$B80,Data!$D$8:$D$300,K$72,Data!$E$8:$E$300,K$73)</f>
        <v>0</v>
      </c>
      <c r="L80" s="120">
        <f>SUMIFS(Data!$M$8:$M$300,Data!$G$8:$G$300,$B80,Data!$D$8:$D$300,L$72,Data!$E$8:$E$300,L$73)</f>
        <v>0</v>
      </c>
      <c r="M80" s="120">
        <f>SUMIFS(Data!$M$8:$M$300,Data!$G$8:$G$300,$B80,Data!$D$8:$D$300,M$72,Data!$E$8:$E$300,M$73)</f>
        <v>0</v>
      </c>
      <c r="O80" s="12"/>
      <c r="P80" s="101" t="s">
        <v>29</v>
      </c>
      <c r="Q80" s="120">
        <f>SUMIFS(Data!$M$8:$M$300,Data!$G$8:$G$300,$P80,Data!$D$8:$D$300,Q$72,Data!$E$8:$E$300,Q$73)</f>
        <v>0</v>
      </c>
      <c r="R80" s="120">
        <f>SUMIFS(Data!$M$8:$M$300,Data!$G$8:$G$300,$P80,Data!$D$8:$D$300,R$72,Data!$E$8:$E$300,R$73)</f>
        <v>0</v>
      </c>
      <c r="S80" s="120">
        <f>SUMIFS(Data!$M$8:$M$300,Data!$G$8:$G$300,$P80,Data!$D$8:$D$300,S$72,Data!$E$8:$E$300,S$73)</f>
        <v>0</v>
      </c>
      <c r="T80" s="120">
        <f>SUMIFS(Data!$M$8:$M$300,Data!$G$8:$G$300,$P80,Data!$D$8:$D$300,T$72,Data!$E$8:$E$300,T$73)</f>
        <v>0</v>
      </c>
      <c r="U80" s="120">
        <f>SUMIFS(Data!$M$8:$M$300,Data!$G$8:$G$300,$P80,Data!$D$8:$D$300,U$72,Data!$E$8:$E$300,U$73)</f>
        <v>0</v>
      </c>
      <c r="V80" s="120">
        <f>SUMIFS(Data!$M$8:$M$300,Data!$G$8:$G$300,$P80,Data!$D$8:$D$300,V$72,Data!$E$8:$E$300,V$73)</f>
        <v>0</v>
      </c>
      <c r="W80" s="120">
        <f>SUMIFS(Data!$M$8:$M$300,Data!$G$8:$G$300,$P80,Data!$D$8:$D$300,W$72,Data!$E$8:$E$300,W$73)</f>
        <v>0</v>
      </c>
      <c r="X80" s="120">
        <f>SUMIFS(Data!$M$8:$M$300,Data!$G$8:$G$300,$P80,Data!$D$8:$D$300,X$72,Data!$E$8:$E$300,X$73)</f>
        <v>0</v>
      </c>
      <c r="Y80" s="120">
        <f>SUMIFS(Data!$M$8:$M$300,Data!$G$8:$G$300,$P80,Data!$D$8:$D$300,Y$72,Data!$E$8:$E$300,Y$73)</f>
        <v>0</v>
      </c>
      <c r="Z80" s="120">
        <f>SUMIFS(Data!$M$8:$M$300,Data!$G$8:$G$300,$P80,Data!$D$8:$D$300,Z$72,Data!$E$8:$E$300,Z$73)</f>
        <v>0</v>
      </c>
      <c r="AA80" s="120">
        <f>SUMIFS(Data!$M$8:$M$300,Data!$G$8:$G$300,$P80,Data!$D$8:$D$300,AA$72,Data!$E$8:$E$300,AA$73)</f>
        <v>0</v>
      </c>
      <c r="AB80" s="12"/>
      <c r="AC80" s="12"/>
      <c r="AD80" s="101" t="s">
        <v>29</v>
      </c>
      <c r="AE80" s="120">
        <f>SUMIFS(Data!$M$8:$M$300,Data!$G$8:$G$300,$AD80,Data!$D$8:$D$300,AE$72,Data!$B$8:$B$300,$AE$69,Data!$E$8:$E$300,AE$73)</f>
        <v>0</v>
      </c>
      <c r="AF80" s="120">
        <f>SUMIFS(Data!$M$8:$M$300,Data!$G$8:$G$300,$AD80,Data!$D$8:$D$300,AF$72,Data!$B$8:$B$300,$AE$69,Data!$E$8:$E$300,AF$73)</f>
        <v>0</v>
      </c>
      <c r="AG80" s="120">
        <f>SUMIFS(Data!$M$8:$M$300,Data!$G$8:$G$300,$AD80,Data!$D$8:$D$300,AG$72,Data!$B$8:$B$300,$AE$69,Data!$E$8:$E$300,AG$73)</f>
        <v>0</v>
      </c>
      <c r="AH80" s="120">
        <f>SUMIFS(Data!$M$8:$M$300,Data!$G$8:$G$300,$AD80,Data!$D$8:$D$300,AH$72,Data!$B$8:$B$300,$AE$69,Data!$E$8:$E$300,AH$73)</f>
        <v>0</v>
      </c>
      <c r="AI80" s="120">
        <f>SUMIFS(Data!$M$8:$M$300,Data!$G$8:$G$300,$AD80,Data!$D$8:$D$300,AI$72,Data!$B$8:$B$300,$AE$69,Data!$E$8:$E$300,AI$73)</f>
        <v>0</v>
      </c>
      <c r="AJ80" s="120">
        <f>SUMIFS(Data!$M$8:$M$300,Data!$G$8:$G$300,$AD80,Data!$D$8:$D$300,AJ$72,Data!$B$8:$B$300,$AE$69,Data!$E$8:$E$300,AJ$73)</f>
        <v>0</v>
      </c>
      <c r="AK80" s="120">
        <f>SUMIFS(Data!$M$8:$M$300,Data!$G$8:$G$300,$AD80,Data!$D$8:$D$300,AK$72,Data!$B$8:$B$300,$AE$69,Data!$E$8:$E$300,AK$73)</f>
        <v>0</v>
      </c>
      <c r="AL80" s="120">
        <f>SUMIFS(Data!$M$8:$M$300,Data!$G$8:$G$300,$AD80,Data!$D$8:$D$300,AL$72,Data!$B$8:$B$300,$AE$69,Data!$E$8:$E$300,AL$73)</f>
        <v>0</v>
      </c>
      <c r="AM80" s="120">
        <f>SUMIFS(Data!$M$8:$M$300,Data!$G$8:$G$300,$AD80,Data!$D$8:$D$300,AM$72,Data!$B$8:$B$300,$AE$69,Data!$E$8:$E$300,AM$73)</f>
        <v>0</v>
      </c>
    </row>
    <row r="81" spans="1:39" ht="15.75" customHeight="1" thickTop="1" thickBot="1" x14ac:dyDescent="0.25">
      <c r="A81" s="5"/>
      <c r="B81" s="102" t="s">
        <v>28</v>
      </c>
      <c r="C81" s="120">
        <f>SUMIFS(Data!$M$8:$M$300,Data!$G$8:$G$300,$B81,Data!$D$8:$D$300,C$72,Data!$E$8:$E$300,C$73)</f>
        <v>0</v>
      </c>
      <c r="D81" s="120">
        <f>SUMIFS(Data!$M$8:$M$300,Data!$G$8:$G$300,$B81,Data!$D$8:$D$300,D$72,Data!$E$8:$E$300,D$73)</f>
        <v>0</v>
      </c>
      <c r="E81" s="120">
        <f>SUMIFS(Data!$M$8:$M$300,Data!$G$8:$G$300,$B81,Data!$D$8:$D$300,E$72,Data!$E$8:$E$300,E$73)</f>
        <v>0</v>
      </c>
      <c r="F81" s="120">
        <f>SUMIFS(Data!$M$8:$M$300,Data!$G$8:$G$300,$B81,Data!$D$8:$D$300,F$72,Data!$E$8:$E$300,F$73)</f>
        <v>0</v>
      </c>
      <c r="G81" s="120">
        <f>SUMIFS(Data!$M$8:$M$300,Data!$G$8:$G$300,$B81,Data!$D$8:$D$300,G$72,Data!$E$8:$E$300,G$73)</f>
        <v>0</v>
      </c>
      <c r="H81" s="120">
        <f>SUMIFS(Data!$M$8:$M$300,Data!$G$8:$G$300,$B81,Data!$D$8:$D$300,H$72,Data!$E$8:$E$300,H$73)</f>
        <v>0</v>
      </c>
      <c r="I81" s="120">
        <f>SUMIFS(Data!$M$8:$M$300,Data!$G$8:$G$300,$B81,Data!$D$8:$D$300,I$72,Data!$E$8:$E$300,I$73)</f>
        <v>0</v>
      </c>
      <c r="J81" s="120">
        <f>SUMIFS(Data!$M$8:$M$300,Data!$G$8:$G$300,$B81,Data!$D$8:$D$300,J$72,Data!$E$8:$E$300,J$73)</f>
        <v>0</v>
      </c>
      <c r="K81" s="120">
        <f>SUMIFS(Data!$M$8:$M$300,Data!$G$8:$G$300,$B81,Data!$D$8:$D$300,K$72,Data!$E$8:$E$300,K$73)</f>
        <v>0</v>
      </c>
      <c r="L81" s="120">
        <f>SUMIFS(Data!$M$8:$M$300,Data!$G$8:$G$300,$B81,Data!$D$8:$D$300,L$72,Data!$E$8:$E$300,L$73)</f>
        <v>0</v>
      </c>
      <c r="M81" s="120">
        <f>SUMIFS(Data!$M$8:$M$300,Data!$G$8:$G$300,$B81,Data!$D$8:$D$300,M$72,Data!$E$8:$E$300,M$73)</f>
        <v>0</v>
      </c>
      <c r="O81" s="12"/>
      <c r="P81" s="102" t="s">
        <v>28</v>
      </c>
      <c r="Q81" s="120">
        <f>SUMIFS(Data!$M$8:$M$300,Data!$G$8:$G$300,$P81,Data!$D$8:$D$300,Q$72,Data!$E$8:$E$300,Q$73)</f>
        <v>0</v>
      </c>
      <c r="R81" s="120">
        <f>SUMIFS(Data!$M$8:$M$300,Data!$G$8:$G$300,$P81,Data!$D$8:$D$300,R$72,Data!$E$8:$E$300,R$73)</f>
        <v>0</v>
      </c>
      <c r="S81" s="120">
        <f>SUMIFS(Data!$M$8:$M$300,Data!$G$8:$G$300,$P81,Data!$D$8:$D$300,S$72,Data!$E$8:$E$300,S$73)</f>
        <v>0</v>
      </c>
      <c r="T81" s="120">
        <f>SUMIFS(Data!$M$8:$M$300,Data!$G$8:$G$300,$P81,Data!$D$8:$D$300,T$72,Data!$E$8:$E$300,T$73)</f>
        <v>0</v>
      </c>
      <c r="U81" s="120">
        <f>SUMIFS(Data!$M$8:$M$300,Data!$G$8:$G$300,$P81,Data!$D$8:$D$300,U$72,Data!$E$8:$E$300,U$73)</f>
        <v>0</v>
      </c>
      <c r="V81" s="120">
        <f>SUMIFS(Data!$M$8:$M$300,Data!$G$8:$G$300,$P81,Data!$D$8:$D$300,V$72,Data!$E$8:$E$300,V$73)</f>
        <v>0</v>
      </c>
      <c r="W81" s="120">
        <f>SUMIFS(Data!$M$8:$M$300,Data!$G$8:$G$300,$P81,Data!$D$8:$D$300,W$72,Data!$E$8:$E$300,W$73)</f>
        <v>0</v>
      </c>
      <c r="X81" s="120">
        <f>SUMIFS(Data!$M$8:$M$300,Data!$G$8:$G$300,$P81,Data!$D$8:$D$300,X$72,Data!$E$8:$E$300,X$73)</f>
        <v>0</v>
      </c>
      <c r="Y81" s="120">
        <f>SUMIFS(Data!$M$8:$M$300,Data!$G$8:$G$300,$P81,Data!$D$8:$D$300,Y$72,Data!$E$8:$E$300,Y$73)</f>
        <v>0</v>
      </c>
      <c r="Z81" s="120">
        <f>SUMIFS(Data!$M$8:$M$300,Data!$G$8:$G$300,$P81,Data!$D$8:$D$300,Z$72,Data!$E$8:$E$300,Z$73)</f>
        <v>0</v>
      </c>
      <c r="AA81" s="120">
        <f>SUMIFS(Data!$M$8:$M$300,Data!$G$8:$G$300,$P81,Data!$D$8:$D$300,AA$72,Data!$E$8:$E$300,AA$73)</f>
        <v>0</v>
      </c>
      <c r="AB81" s="12"/>
      <c r="AC81" s="12"/>
      <c r="AD81" s="102" t="s">
        <v>28</v>
      </c>
      <c r="AE81" s="120">
        <f>SUMIFS(Data!$M$8:$M$300,Data!$G$8:$G$300,$AD81,Data!$D$8:$D$300,AE$72,Data!$B$8:$B$300,$AE$69,Data!$E$8:$E$300,AE$73)</f>
        <v>0</v>
      </c>
      <c r="AF81" s="120">
        <f>SUMIFS(Data!$M$8:$M$300,Data!$G$8:$G$300,$AD81,Data!$D$8:$D$300,AF$72,Data!$B$8:$B$300,$AE$69,Data!$E$8:$E$300,AF$73)</f>
        <v>0</v>
      </c>
      <c r="AG81" s="120">
        <f>SUMIFS(Data!$M$8:$M$300,Data!$G$8:$G$300,$AD81,Data!$D$8:$D$300,AG$72,Data!$B$8:$B$300,$AE$69,Data!$E$8:$E$300,AG$73)</f>
        <v>0</v>
      </c>
      <c r="AH81" s="120">
        <f>SUMIFS(Data!$M$8:$M$300,Data!$G$8:$G$300,$AD81,Data!$D$8:$D$300,AH$72,Data!$B$8:$B$300,$AE$69,Data!$E$8:$E$300,AH$73)</f>
        <v>0</v>
      </c>
      <c r="AI81" s="120">
        <f>SUMIFS(Data!$M$8:$M$300,Data!$G$8:$G$300,$AD81,Data!$D$8:$D$300,AI$72,Data!$B$8:$B$300,$AE$69,Data!$E$8:$E$300,AI$73)</f>
        <v>0</v>
      </c>
      <c r="AJ81" s="120">
        <f>SUMIFS(Data!$M$8:$M$300,Data!$G$8:$G$300,$AD81,Data!$D$8:$D$300,AJ$72,Data!$B$8:$B$300,$AE$69,Data!$E$8:$E$300,AJ$73)</f>
        <v>0</v>
      </c>
      <c r="AK81" s="120">
        <f>SUMIFS(Data!$M$8:$M$300,Data!$G$8:$G$300,$AD81,Data!$D$8:$D$300,AK$72,Data!$B$8:$B$300,$AE$69,Data!$E$8:$E$300,AK$73)</f>
        <v>0</v>
      </c>
      <c r="AL81" s="120">
        <f>SUMIFS(Data!$M$8:$M$300,Data!$G$8:$G$300,$AD81,Data!$D$8:$D$300,AL$72,Data!$B$8:$B$300,$AE$69,Data!$E$8:$E$300,AL$73)</f>
        <v>0</v>
      </c>
      <c r="AM81" s="120">
        <f>SUMIFS(Data!$M$8:$M$300,Data!$G$8:$G$300,$AD81,Data!$D$8:$D$300,AM$72,Data!$B$8:$B$300,$AE$69,Data!$E$8:$E$300,AM$73)</f>
        <v>0</v>
      </c>
    </row>
    <row r="82" spans="1:39" ht="15.75" customHeight="1" thickTop="1" thickBot="1" x14ac:dyDescent="0.25">
      <c r="A82" s="12"/>
      <c r="B82" s="102" t="s">
        <v>97</v>
      </c>
      <c r="C82" s="120">
        <f>SUMIFS(Data!$M$8:$M$300,Data!$G$8:$G$300,$B82,Data!$D$8:$D$300,C$72,Data!$E$8:$E$300,C$73)</f>
        <v>0</v>
      </c>
      <c r="D82" s="120">
        <f>SUMIFS(Data!$M$8:$M$300,Data!$G$8:$G$300,$B82,Data!$D$8:$D$300,D$72,Data!$E$8:$E$300,D$73)</f>
        <v>0</v>
      </c>
      <c r="E82" s="120">
        <f>SUMIFS(Data!$M$8:$M$300,Data!$G$8:$G$300,$B82,Data!$D$8:$D$300,E$72,Data!$E$8:$E$300,E$73)</f>
        <v>0</v>
      </c>
      <c r="F82" s="120">
        <f>SUMIFS(Data!$M$8:$M$300,Data!$G$8:$G$300,$B82,Data!$D$8:$D$300,F$72,Data!$E$8:$E$300,F$73)</f>
        <v>0</v>
      </c>
      <c r="G82" s="120">
        <f>SUMIFS(Data!$M$8:$M$300,Data!$G$8:$G$300,$B82,Data!$D$8:$D$300,G$72,Data!$E$8:$E$300,G$73)</f>
        <v>0</v>
      </c>
      <c r="H82" s="120">
        <f>SUMIFS(Data!$M$8:$M$300,Data!$G$8:$G$300,$B82,Data!$D$8:$D$300,H$72,Data!$E$8:$E$300,H$73)</f>
        <v>0</v>
      </c>
      <c r="I82" s="120">
        <f>SUMIFS(Data!$M$8:$M$300,Data!$G$8:$G$300,$B82,Data!$D$8:$D$300,I$72,Data!$E$8:$E$300,I$73)</f>
        <v>0</v>
      </c>
      <c r="J82" s="120">
        <f>SUMIFS(Data!$M$8:$M$300,Data!$G$8:$G$300,$B82,Data!$D$8:$D$300,J$72,Data!$E$8:$E$300,J$73)</f>
        <v>0</v>
      </c>
      <c r="K82" s="120">
        <f>SUMIFS(Data!$M$8:$M$300,Data!$G$8:$G$300,$B82,Data!$D$8:$D$300,K$72,Data!$E$8:$E$300,K$73)</f>
        <v>0</v>
      </c>
      <c r="L82" s="120">
        <f>SUMIFS(Data!$M$8:$M$300,Data!$G$8:$G$300,$B82,Data!$D$8:$D$300,L$72,Data!$E$8:$E$300,L$73)</f>
        <v>0</v>
      </c>
      <c r="M82" s="120">
        <f>SUMIFS(Data!$M$8:$M$300,Data!$G$8:$G$300,$B82,Data!$D$8:$D$300,M$72,Data!$E$8:$E$300,M$73)</f>
        <v>0</v>
      </c>
      <c r="O82" s="12"/>
      <c r="P82" s="102" t="s">
        <v>97</v>
      </c>
      <c r="Q82" s="120">
        <f>SUMIFS(Data!$M$8:$M$300,Data!$G$8:$G$300,$P82,Data!$D$8:$D$300,Q$72,Data!$E$8:$E$300,Q$73)</f>
        <v>0</v>
      </c>
      <c r="R82" s="120">
        <f>SUMIFS(Data!$M$8:$M$300,Data!$G$8:$G$300,$P82,Data!$D$8:$D$300,R$72,Data!$E$8:$E$300,R$73)</f>
        <v>0</v>
      </c>
      <c r="S82" s="120">
        <f>SUMIFS(Data!$M$8:$M$300,Data!$G$8:$G$300,$P82,Data!$D$8:$D$300,S$72,Data!$E$8:$E$300,S$73)</f>
        <v>0</v>
      </c>
      <c r="T82" s="120">
        <f>SUMIFS(Data!$M$8:$M$300,Data!$G$8:$G$300,$P82,Data!$D$8:$D$300,T$72,Data!$E$8:$E$300,T$73)</f>
        <v>0</v>
      </c>
      <c r="U82" s="120">
        <f>SUMIFS(Data!$M$8:$M$300,Data!$G$8:$G$300,$P82,Data!$D$8:$D$300,U$72,Data!$E$8:$E$300,U$73)</f>
        <v>0</v>
      </c>
      <c r="V82" s="120">
        <f>SUMIFS(Data!$M$8:$M$300,Data!$G$8:$G$300,$P82,Data!$D$8:$D$300,V$72,Data!$E$8:$E$300,V$73)</f>
        <v>0</v>
      </c>
      <c r="W82" s="120">
        <f>SUMIFS(Data!$M$8:$M$300,Data!$G$8:$G$300,$P82,Data!$D$8:$D$300,W$72,Data!$E$8:$E$300,W$73)</f>
        <v>0</v>
      </c>
      <c r="X82" s="214"/>
      <c r="Y82" s="214"/>
      <c r="Z82" s="214"/>
      <c r="AA82" s="214"/>
      <c r="AB82" s="12"/>
      <c r="AC82" s="12"/>
      <c r="AD82" s="102" t="s">
        <v>97</v>
      </c>
      <c r="AE82" s="120">
        <f>SUMIFS(Data!$M$8:$M$300,Data!$G$8:$G$300,$AD82,Data!$D$8:$D$300,AE$72,Data!$B$8:$B$300,$AE$69,Data!$E$8:$E$300,AE$73)</f>
        <v>0</v>
      </c>
      <c r="AF82" s="120">
        <f>SUMIFS(Data!$M$8:$M$300,Data!$G$8:$G$300,$AD82,Data!$D$8:$D$300,AF$72,Data!$B$8:$B$300,$AE$69,Data!$E$8:$E$300,AF$73)</f>
        <v>0</v>
      </c>
      <c r="AG82" s="120">
        <f>SUMIFS(Data!$M$8:$M$300,Data!$G$8:$G$300,$AD82,Data!$D$8:$D$300,AG$72,Data!$B$8:$B$300,$AE$69,Data!$E$8:$E$300,AG$73)</f>
        <v>0</v>
      </c>
      <c r="AH82" s="120">
        <f>SUMIFS(Data!$M$8:$M$300,Data!$G$8:$G$300,$AD82,Data!$D$8:$D$300,AH$72,Data!$B$8:$B$300,$AE$69,Data!$E$8:$E$300,AH$73)</f>
        <v>0</v>
      </c>
      <c r="AI82" s="120">
        <f>SUMIFS(Data!$M$8:$M$300,Data!$G$8:$G$300,$AD82,Data!$D$8:$D$300,AI$72,Data!$B$8:$B$300,$AE$69,Data!$E$8:$E$300,AI$73)</f>
        <v>0</v>
      </c>
      <c r="AJ82" s="120">
        <f>SUMIFS(Data!$M$8:$M$300,Data!$G$8:$G$300,$AD82,Data!$D$8:$D$300,AJ$72,Data!$B$8:$B$300,$AE$69,Data!$E$8:$E$300,AJ$73)</f>
        <v>0</v>
      </c>
      <c r="AK82" s="120">
        <f>SUMIFS(Data!$M$8:$M$300,Data!$G$8:$G$300,$AD82,Data!$D$8:$D$300,AK$72,Data!$B$8:$B$300,$AE$69,Data!$E$8:$E$300,AK$73)</f>
        <v>0</v>
      </c>
      <c r="AL82" s="120">
        <f>SUMIFS(Data!$M$8:$M$300,Data!$G$8:$G$300,$AD82,Data!$D$8:$D$300,AL$72,Data!$B$8:$B$300,$AE$69,Data!$E$8:$E$300,AL$73)</f>
        <v>0</v>
      </c>
      <c r="AM82" s="120">
        <f>SUMIFS(Data!$M$8:$M$300,Data!$G$8:$G$300,$AD82,Data!$D$8:$D$300,AM$72,Data!$B$8:$B$300,$AE$69,Data!$E$8:$E$300,AM$73)</f>
        <v>0</v>
      </c>
    </row>
    <row r="83" spans="1:39" ht="15.75" customHeight="1" thickTop="1" thickBot="1" x14ac:dyDescent="0.25">
      <c r="A83" s="12"/>
      <c r="B83" s="102" t="s">
        <v>105</v>
      </c>
      <c r="C83" s="120">
        <f>SUMIFS(Data!$M$8:$M$300,Data!$G$8:$G$300,$B83,Data!$D$8:$D$300,C$72,Data!$E$8:$E$300,C$73)</f>
        <v>0</v>
      </c>
      <c r="D83" s="120">
        <f>SUMIFS(Data!$M$8:$M$300,Data!$G$8:$G$300,$B83,Data!$D$8:$D$300,D$72,Data!$E$8:$E$300,D$73)</f>
        <v>0</v>
      </c>
      <c r="E83" s="120">
        <f>SUMIFS(Data!$M$8:$M$300,Data!$G$8:$G$300,$B83,Data!$D$8:$D$300,E$72,Data!$E$8:$E$300,E$73)</f>
        <v>0</v>
      </c>
      <c r="F83" s="120">
        <f>SUMIFS(Data!$M$8:$M$300,Data!$G$8:$G$300,$B83,Data!$D$8:$D$300,F$72,Data!$E$8:$E$300,F$73)</f>
        <v>0</v>
      </c>
      <c r="G83" s="120">
        <f>SUMIFS(Data!$M$8:$M$300,Data!$G$8:$G$300,$B83,Data!$D$8:$D$300,G$72,Data!$E$8:$E$300,G$73)</f>
        <v>0</v>
      </c>
      <c r="H83" s="120">
        <f>SUMIFS(Data!$M$8:$M$300,Data!$G$8:$G$300,$B83,Data!$D$8:$D$300,H$72,Data!$E$8:$E$300,H$73)</f>
        <v>0</v>
      </c>
      <c r="I83" s="120">
        <f>SUMIFS(Data!$M$8:$M$300,Data!$G$8:$G$300,$B83,Data!$D$8:$D$300,I$72,Data!$E$8:$E$300,I$73)</f>
        <v>0</v>
      </c>
      <c r="J83" s="120">
        <f>SUMIFS(Data!$M$8:$M$300,Data!$G$8:$G$300,$B83,Data!$D$8:$D$300,J$72,Data!$E$8:$E$300,J$73)</f>
        <v>0</v>
      </c>
      <c r="K83" s="120">
        <f>SUMIFS(Data!$M$8:$M$300,Data!$G$8:$G$300,$B83,Data!$D$8:$D$300,K$72,Data!$E$8:$E$300,K$73)</f>
        <v>0</v>
      </c>
      <c r="L83" s="120">
        <f>SUMIFS(Data!$M$8:$M$300,Data!$G$8:$G$300,$B83,Data!$D$8:$D$300,L$72,Data!$E$8:$E$300,L$73)</f>
        <v>0</v>
      </c>
      <c r="M83" s="120">
        <f>SUMIFS(Data!$M$8:$M$300,Data!$G$8:$G$300,$B83,Data!$D$8:$D$300,M$72,Data!$E$8:$E$300,M$73)</f>
        <v>0</v>
      </c>
      <c r="O83" s="12"/>
      <c r="P83" s="102" t="s">
        <v>105</v>
      </c>
      <c r="Q83" s="120">
        <f>SUMIFS(Data!$M$8:$M$300,Data!$G$8:$G$300,$P83,Data!$D$8:$D$300,Q$72,Data!$E$8:$E$300,Q$73)</f>
        <v>0</v>
      </c>
      <c r="R83" s="120">
        <f>SUMIFS(Data!$M$8:$M$300,Data!$G$8:$G$300,$P83,Data!$D$8:$D$300,R$72,Data!$E$8:$E$300,R$73)</f>
        <v>0</v>
      </c>
      <c r="S83" s="120">
        <f>SUMIFS(Data!$M$8:$M$300,Data!$G$8:$G$300,$P83,Data!$D$8:$D$300,S$72,Data!$E$8:$E$300,S$73)</f>
        <v>0</v>
      </c>
      <c r="T83" s="120">
        <f>SUMIFS(Data!$M$8:$M$300,Data!$G$8:$G$300,$P83,Data!$D$8:$D$300,T$72,Data!$E$8:$E$300,T$73)</f>
        <v>0</v>
      </c>
      <c r="U83" s="120">
        <f>SUMIFS(Data!$M$8:$M$300,Data!$G$8:$G$300,$P83,Data!$D$8:$D$300,U$72,Data!$E$8:$E$300,U$73)</f>
        <v>0</v>
      </c>
      <c r="V83" s="120">
        <f>SUMIFS(Data!$M$8:$M$300,Data!$G$8:$G$300,$P83,Data!$D$8:$D$300,V$72,Data!$E$8:$E$300,V$73)</f>
        <v>0</v>
      </c>
      <c r="W83" s="120">
        <f>SUMIFS(Data!$M$8:$M$300,Data!$G$8:$G$300,$P83,Data!$D$8:$D$300,W$72,Data!$E$8:$E$300,W$73)</f>
        <v>0</v>
      </c>
      <c r="X83" s="214"/>
      <c r="Y83" s="214"/>
      <c r="Z83" s="214"/>
      <c r="AA83" s="214"/>
      <c r="AB83" s="12"/>
      <c r="AC83" s="12"/>
      <c r="AD83" s="102" t="s">
        <v>105</v>
      </c>
      <c r="AE83" s="120">
        <f>SUMIFS(Data!$M$8:$M$300,Data!$G$8:$G$300,$AD83,Data!$D$8:$D$300,AE$72,Data!$B$8:$B$300,$AE$69,Data!$E$8:$E$300,AE$73)</f>
        <v>0</v>
      </c>
      <c r="AF83" s="120">
        <f>SUMIFS(Data!$M$8:$M$300,Data!$G$8:$G$300,$AD83,Data!$D$8:$D$300,AF$72,Data!$B$8:$B$300,$AE$69,Data!$E$8:$E$300,AF$73)</f>
        <v>0</v>
      </c>
      <c r="AG83" s="120">
        <f>SUMIFS(Data!$M$8:$M$300,Data!$G$8:$G$300,$AD83,Data!$D$8:$D$300,AG$72,Data!$B$8:$B$300,$AE$69,Data!$E$8:$E$300,AG$73)</f>
        <v>0</v>
      </c>
      <c r="AH83" s="120">
        <f>SUMIFS(Data!$M$8:$M$300,Data!$G$8:$G$300,$AD83,Data!$D$8:$D$300,AH$72,Data!$B$8:$B$300,$AE$69,Data!$E$8:$E$300,AH$73)</f>
        <v>0</v>
      </c>
      <c r="AI83" s="120">
        <f>SUMIFS(Data!$M$8:$M$300,Data!$G$8:$G$300,$AD83,Data!$D$8:$D$300,AI$72,Data!$B$8:$B$300,$AE$69,Data!$E$8:$E$300,AI$73)</f>
        <v>0</v>
      </c>
      <c r="AJ83" s="120">
        <f>SUMIFS(Data!$M$8:$M$300,Data!$G$8:$G$300,$AD83,Data!$D$8:$D$300,AJ$72,Data!$B$8:$B$300,$AE$69,Data!$E$8:$E$300,AJ$73)</f>
        <v>0</v>
      </c>
      <c r="AK83" s="120">
        <f>SUMIFS(Data!$M$8:$M$300,Data!$G$8:$G$300,$AD83,Data!$D$8:$D$300,AK$72,Data!$B$8:$B$300,$AE$69,Data!$E$8:$E$300,AK$73)</f>
        <v>0</v>
      </c>
      <c r="AL83" s="120">
        <f>SUMIFS(Data!$M$8:$M$300,Data!$G$8:$G$300,$AD83,Data!$D$8:$D$300,AL$72,Data!$B$8:$B$300,$AE$69,Data!$E$8:$E$300,AL$73)</f>
        <v>0</v>
      </c>
      <c r="AM83" s="120">
        <f>SUMIFS(Data!$M$8:$M$300,Data!$G$8:$G$300,$AD83,Data!$D$8:$D$300,AM$72,Data!$B$8:$B$300,$AE$69,Data!$E$8:$E$300,AM$73)</f>
        <v>0</v>
      </c>
    </row>
    <row r="84" spans="1:39" ht="15.75" customHeight="1" thickTop="1" thickBot="1" x14ac:dyDescent="0.25">
      <c r="A84" s="12"/>
      <c r="B84" s="102" t="s">
        <v>102</v>
      </c>
      <c r="C84" s="120">
        <f>SUMIFS(Data!$M$8:$M$300,Data!$G$8:$G$300,$B84,Data!$D$8:$D$300,C$72,Data!$E$8:$E$300,C$73)</f>
        <v>0</v>
      </c>
      <c r="D84" s="120">
        <f>SUMIFS(Data!$M$8:$M$300,Data!$G$8:$G$300,$B84,Data!$D$8:$D$300,D$72,Data!$E$8:$E$300,D$73)</f>
        <v>0</v>
      </c>
      <c r="E84" s="120">
        <f>SUMIFS(Data!$M$8:$M$300,Data!$G$8:$G$300,$B84,Data!$D$8:$D$300,E$72,Data!$E$8:$E$300,E$73)</f>
        <v>0</v>
      </c>
      <c r="F84" s="120">
        <f>SUMIFS(Data!$M$8:$M$300,Data!$G$8:$G$300,$B84,Data!$D$8:$D$300,F$72,Data!$E$8:$E$300,F$73)</f>
        <v>0</v>
      </c>
      <c r="G84" s="120">
        <f>SUMIFS(Data!$M$8:$M$300,Data!$G$8:$G$300,$B84,Data!$D$8:$D$300,G$72,Data!$E$8:$E$300,G$73)</f>
        <v>0</v>
      </c>
      <c r="H84" s="120">
        <f>SUMIFS(Data!$M$8:$M$300,Data!$G$8:$G$300,$B84,Data!$D$8:$D$300,H$72,Data!$E$8:$E$300,H$73)</f>
        <v>0</v>
      </c>
      <c r="I84" s="120">
        <f>SUMIFS(Data!$M$8:$M$300,Data!$G$8:$G$300,$B84,Data!$D$8:$D$300,I$72,Data!$E$8:$E$300,I$73)</f>
        <v>0</v>
      </c>
      <c r="J84" s="120">
        <f>SUMIFS(Data!$M$8:$M$300,Data!$G$8:$G$300,$B84,Data!$D$8:$D$300,J$72,Data!$E$8:$E$300,J$73)</f>
        <v>0</v>
      </c>
      <c r="K84" s="120">
        <f>SUMIFS(Data!$M$8:$M$300,Data!$G$8:$G$300,$B84,Data!$D$8:$D$300,K$72,Data!$E$8:$E$300,K$73)</f>
        <v>0</v>
      </c>
      <c r="L84" s="120">
        <f>SUMIFS(Data!$M$8:$M$300,Data!$G$8:$G$300,$B84,Data!$D$8:$D$300,L$72,Data!$E$8:$E$300,L$73)</f>
        <v>0</v>
      </c>
      <c r="M84" s="120">
        <f>SUMIFS(Data!$M$8:$M$300,Data!$G$8:$G$300,$B84,Data!$D$8:$D$300,M$72,Data!$E$8:$E$300,M$73)</f>
        <v>0</v>
      </c>
      <c r="O84" s="12"/>
      <c r="P84" s="102" t="s">
        <v>102</v>
      </c>
      <c r="Q84" s="120">
        <f>SUMIFS(Data!$M$8:$M$300,Data!$G$8:$G$300,$P84,Data!$D$8:$D$300,Q$72,Data!$E$8:$E$300,Q$73)</f>
        <v>0</v>
      </c>
      <c r="R84" s="120">
        <f>SUMIFS(Data!$M$8:$M$300,Data!$G$8:$G$300,$P84,Data!$D$8:$D$300,R$72,Data!$E$8:$E$300,R$73)</f>
        <v>0</v>
      </c>
      <c r="S84" s="120">
        <f>SUMIFS(Data!$M$8:$M$300,Data!$G$8:$G$300,$P84,Data!$D$8:$D$300,S$72,Data!$E$8:$E$300,S$73)</f>
        <v>0</v>
      </c>
      <c r="T84" s="120">
        <f>SUMIFS(Data!$M$8:$M$300,Data!$G$8:$G$300,$P84,Data!$D$8:$D$300,T$72,Data!$E$8:$E$300,T$73)</f>
        <v>0</v>
      </c>
      <c r="U84" s="120">
        <f>SUMIFS(Data!$M$8:$M$300,Data!$G$8:$G$300,$P84,Data!$D$8:$D$300,U$72,Data!$E$8:$E$300,U$73)</f>
        <v>0</v>
      </c>
      <c r="V84" s="120">
        <f>SUMIFS(Data!$M$8:$M$300,Data!$G$8:$G$300,$P84,Data!$D$8:$D$300,V$72,Data!$E$8:$E$300,V$73)</f>
        <v>0</v>
      </c>
      <c r="W84" s="120">
        <f>SUMIFS(Data!$M$8:$M$300,Data!$G$8:$G$300,$P84,Data!$D$8:$D$300,W$72,Data!$E$8:$E$300,W$73)</f>
        <v>0</v>
      </c>
      <c r="X84" s="214"/>
      <c r="Y84" s="214"/>
      <c r="Z84" s="214"/>
      <c r="AA84" s="214"/>
      <c r="AB84" s="12"/>
      <c r="AC84" s="12"/>
      <c r="AD84" s="102" t="s">
        <v>102</v>
      </c>
      <c r="AE84" s="120">
        <f>SUMIFS(Data!$M$8:$M$300,Data!$G$8:$G$300,$AD84,Data!$D$8:$D$300,AE$72,Data!$B$8:$B$300,$AE$69,Data!$E$8:$E$300,AE$73)</f>
        <v>0</v>
      </c>
      <c r="AF84" s="120">
        <f>SUMIFS(Data!$M$8:$M$300,Data!$G$8:$G$300,$AD84,Data!$D$8:$D$300,AF$72,Data!$B$8:$B$300,$AE$69,Data!$E$8:$E$300,AF$73)</f>
        <v>0</v>
      </c>
      <c r="AG84" s="120">
        <f>SUMIFS(Data!$M$8:$M$300,Data!$G$8:$G$300,$AD84,Data!$D$8:$D$300,AG$72,Data!$B$8:$B$300,$AE$69,Data!$E$8:$E$300,AG$73)</f>
        <v>0</v>
      </c>
      <c r="AH84" s="120">
        <f>SUMIFS(Data!$M$8:$M$300,Data!$G$8:$G$300,$AD84,Data!$D$8:$D$300,AH$72,Data!$B$8:$B$300,$AE$69,Data!$E$8:$E$300,AH$73)</f>
        <v>0</v>
      </c>
      <c r="AI84" s="120">
        <f>SUMIFS(Data!$M$8:$M$300,Data!$G$8:$G$300,$AD84,Data!$D$8:$D$300,AI$72,Data!$B$8:$B$300,$AE$69,Data!$E$8:$E$300,AI$73)</f>
        <v>0</v>
      </c>
      <c r="AJ84" s="120">
        <f>SUMIFS(Data!$M$8:$M$300,Data!$G$8:$G$300,$AD84,Data!$D$8:$D$300,AJ$72,Data!$B$8:$B$300,$AE$69,Data!$E$8:$E$300,AJ$73)</f>
        <v>0</v>
      </c>
      <c r="AK84" s="120">
        <f>SUMIFS(Data!$M$8:$M$300,Data!$G$8:$G$300,$AD84,Data!$D$8:$D$300,AK$72,Data!$B$8:$B$300,$AE$69,Data!$E$8:$E$300,AK$73)</f>
        <v>0</v>
      </c>
      <c r="AL84" s="120">
        <f>SUMIFS(Data!$M$8:$M$300,Data!$G$8:$G$300,$AD84,Data!$D$8:$D$300,AL$72,Data!$B$8:$B$300,$AE$69,Data!$E$8:$E$300,AL$73)</f>
        <v>0</v>
      </c>
      <c r="AM84" s="120">
        <f>SUMIFS(Data!$M$8:$M$300,Data!$G$8:$G$300,$AD84,Data!$D$8:$D$300,AM$72,Data!$B$8:$B$300,$AE$69,Data!$E$8:$E$300,AM$73)</f>
        <v>0</v>
      </c>
    </row>
    <row r="85" spans="1:39" ht="15.75" customHeight="1" thickTop="1" thickBot="1" x14ac:dyDescent="0.25">
      <c r="A85" s="12"/>
      <c r="B85" s="110" t="s">
        <v>49</v>
      </c>
      <c r="C85" s="111">
        <f t="shared" ref="C85:M85" si="75">SUM(C80:C81)</f>
        <v>0</v>
      </c>
      <c r="D85" s="111">
        <f t="shared" si="75"/>
        <v>0</v>
      </c>
      <c r="E85" s="111">
        <f t="shared" si="75"/>
        <v>0</v>
      </c>
      <c r="F85" s="111">
        <f t="shared" si="75"/>
        <v>0</v>
      </c>
      <c r="G85" s="111">
        <f t="shared" si="75"/>
        <v>0</v>
      </c>
      <c r="H85" s="111">
        <f t="shared" si="75"/>
        <v>0</v>
      </c>
      <c r="I85" s="111">
        <f t="shared" si="75"/>
        <v>0</v>
      </c>
      <c r="J85" s="111">
        <f t="shared" si="75"/>
        <v>0</v>
      </c>
      <c r="K85" s="111">
        <f t="shared" si="75"/>
        <v>0</v>
      </c>
      <c r="L85" s="111">
        <f t="shared" si="75"/>
        <v>0</v>
      </c>
      <c r="M85" s="112">
        <f t="shared" si="75"/>
        <v>0</v>
      </c>
      <c r="O85" s="12"/>
      <c r="P85" s="110" t="s">
        <v>49</v>
      </c>
      <c r="Q85" s="111">
        <f t="shared" ref="Q85:AA85" si="76">SUM(Q80:Q81)</f>
        <v>0</v>
      </c>
      <c r="R85" s="111">
        <f t="shared" si="76"/>
        <v>0</v>
      </c>
      <c r="S85" s="111">
        <f t="shared" si="76"/>
        <v>0</v>
      </c>
      <c r="T85" s="111">
        <f t="shared" si="76"/>
        <v>0</v>
      </c>
      <c r="U85" s="111">
        <f t="shared" si="76"/>
        <v>0</v>
      </c>
      <c r="V85" s="111">
        <f t="shared" si="76"/>
        <v>0</v>
      </c>
      <c r="W85" s="111">
        <f t="shared" si="76"/>
        <v>0</v>
      </c>
      <c r="X85" s="111">
        <f t="shared" si="76"/>
        <v>0</v>
      </c>
      <c r="Y85" s="111">
        <f t="shared" si="76"/>
        <v>0</v>
      </c>
      <c r="Z85" s="111">
        <f t="shared" si="76"/>
        <v>0</v>
      </c>
      <c r="AA85" s="111">
        <f t="shared" si="76"/>
        <v>0</v>
      </c>
      <c r="AB85" s="12"/>
      <c r="AC85" s="12"/>
      <c r="AD85" s="110" t="s">
        <v>49</v>
      </c>
      <c r="AE85" s="111">
        <f>SUM(AE80:AE84)</f>
        <v>0</v>
      </c>
      <c r="AF85" s="111">
        <f t="shared" ref="AF85" si="77">SUM(AF80:AF84)</f>
        <v>0</v>
      </c>
      <c r="AG85" s="111">
        <f>SUM(AG80:AG84)</f>
        <v>0</v>
      </c>
      <c r="AH85" s="111">
        <f t="shared" ref="AH85:AK85" si="78">SUM(AH80:AH84)</f>
        <v>0</v>
      </c>
      <c r="AI85" s="111">
        <f t="shared" si="78"/>
        <v>0</v>
      </c>
      <c r="AJ85" s="111">
        <f t="shared" si="78"/>
        <v>0</v>
      </c>
      <c r="AK85" s="111">
        <f t="shared" si="78"/>
        <v>0</v>
      </c>
      <c r="AL85" s="111">
        <f>SUM(AL80:AL81)</f>
        <v>0</v>
      </c>
      <c r="AM85" s="111">
        <f>SUM(AM80:AM81)</f>
        <v>0</v>
      </c>
    </row>
    <row r="86" spans="1:39" ht="15.75" customHeight="1" thickTop="1" thickBot="1" x14ac:dyDescent="0.25">
      <c r="A86" s="12"/>
      <c r="B86" s="312" t="s">
        <v>43</v>
      </c>
      <c r="C86" s="313"/>
      <c r="D86" s="313"/>
      <c r="E86" s="313"/>
      <c r="F86" s="313"/>
      <c r="G86" s="313"/>
      <c r="H86" s="313"/>
      <c r="I86" s="313"/>
      <c r="J86" s="108"/>
      <c r="K86" s="108"/>
      <c r="L86" s="108"/>
      <c r="M86" s="109"/>
      <c r="O86" s="12"/>
      <c r="P86" s="312" t="s">
        <v>43</v>
      </c>
      <c r="Q86" s="313"/>
      <c r="R86" s="313"/>
      <c r="S86" s="313"/>
      <c r="T86" s="313"/>
      <c r="U86" s="313"/>
      <c r="V86" s="313"/>
      <c r="W86" s="313"/>
      <c r="X86" s="108"/>
      <c r="Y86" s="108"/>
      <c r="Z86" s="108"/>
      <c r="AA86" s="108"/>
      <c r="AB86" s="12"/>
      <c r="AC86" s="12"/>
      <c r="AD86" s="312" t="s">
        <v>43</v>
      </c>
      <c r="AE86" s="313"/>
      <c r="AF86" s="313"/>
      <c r="AG86" s="313"/>
      <c r="AH86" s="313"/>
      <c r="AI86" s="313"/>
      <c r="AJ86" s="313"/>
      <c r="AK86" s="313"/>
      <c r="AL86" s="313"/>
      <c r="AM86" s="313"/>
    </row>
    <row r="87" spans="1:39" ht="15.75" customHeight="1" thickTop="1" thickBot="1" x14ac:dyDescent="0.25">
      <c r="A87" s="5"/>
      <c r="B87" s="105" t="s">
        <v>12</v>
      </c>
      <c r="C87" s="120">
        <f>SUMIFS(Data!$M$8:$M$300,Data!$G$8:$G$300,$B87,Data!$D$8:$D$300,C$72,Data!$E$8:$E$300,C$73)</f>
        <v>0</v>
      </c>
      <c r="D87" s="120">
        <f>SUMIFS(Data!$M$8:$M$300,Data!$G$8:$G$300,$B87,Data!$D$8:$D$300,D$72,Data!$E$8:$E$300,D$73)</f>
        <v>0</v>
      </c>
      <c r="E87" s="120">
        <f>SUMIFS(Data!$M$8:$M$300,Data!$G$8:$G$300,$B87,Data!$D$8:$D$300,E$72,Data!$E$8:$E$300,E$73)</f>
        <v>0</v>
      </c>
      <c r="F87" s="120">
        <f>SUMIFS(Data!$M$8:$M$300,Data!$G$8:$G$300,$B87,Data!$D$8:$D$300,F$72,Data!$E$8:$E$300,F$73)</f>
        <v>0</v>
      </c>
      <c r="G87" s="120">
        <f>SUMIFS(Data!$M$8:$M$300,Data!$G$8:$G$300,$B87,Data!$D$8:$D$300,G$72,Data!$E$8:$E$300,G$73)</f>
        <v>0</v>
      </c>
      <c r="H87" s="120">
        <f>SUMIFS(Data!$M$8:$M$300,Data!$G$8:$G$300,$B87,Data!$D$8:$D$300,H$72,Data!$E$8:$E$300,H$73)</f>
        <v>0</v>
      </c>
      <c r="I87" s="120">
        <f>SUMIFS(Data!$M$8:$M$300,Data!$G$8:$G$300,$B87,Data!$D$8:$D$300,I$72,Data!$E$8:$E$300,I$73)</f>
        <v>0</v>
      </c>
      <c r="J87" s="120">
        <f>SUMIFS(Data!$M$8:$M$300,Data!$G$8:$G$300,$B87,Data!$D$8:$D$300,J$72,Data!$E$8:$E$300,J$73)</f>
        <v>0</v>
      </c>
      <c r="K87" s="120">
        <f>SUMIFS(Data!$M$8:$M$300,Data!$G$8:$G$300,$B87,Data!$D$8:$D$300,K$72,Data!$E$8:$E$300,K$73)</f>
        <v>0</v>
      </c>
      <c r="L87" s="120">
        <f>SUMIFS(Data!$M$8:$M$300,Data!$G$8:$G$300,$B87,Data!$D$8:$D$300,L$72,Data!$E$8:$E$300,L$73)</f>
        <v>0</v>
      </c>
      <c r="M87" s="120">
        <f>SUMIFS(Data!$M$8:$M$300,Data!$G$8:$G$300,$B87,Data!$D$8:$D$300,M$72,Data!$E$8:$E$300,M$73)</f>
        <v>0</v>
      </c>
      <c r="O87" s="12"/>
      <c r="P87" s="105" t="s">
        <v>12</v>
      </c>
      <c r="Q87" s="120">
        <f>SUMIFS(Data!$M$8:$M$300,Data!$G$8:$G$300,$P87,Data!$D$8:$D$300,Q$72,Data!$E$8:$E$300,Q$73)</f>
        <v>0</v>
      </c>
      <c r="R87" s="120">
        <f>SUMIFS(Data!$M$8:$M$300,Data!$G$8:$G$300,$P87,Data!$D$8:$D$300,R$72,Data!$E$8:$E$300,R$73)</f>
        <v>0</v>
      </c>
      <c r="S87" s="120">
        <f>SUMIFS(Data!$M$8:$M$300,Data!$G$8:$G$300,$P87,Data!$D$8:$D$300,S$72,Data!$E$8:$E$300,S$73)</f>
        <v>0</v>
      </c>
      <c r="T87" s="120">
        <f>SUMIFS(Data!$M$8:$M$300,Data!$G$8:$G$300,$P87,Data!$D$8:$D$300,T$72,Data!$E$8:$E$300,T$73)</f>
        <v>0</v>
      </c>
      <c r="U87" s="120">
        <f>SUMIFS(Data!$M$8:$M$300,Data!$G$8:$G$300,$P87,Data!$D$8:$D$300,U$72,Data!$E$8:$E$300,U$73)</f>
        <v>0</v>
      </c>
      <c r="V87" s="120">
        <f>SUMIFS(Data!$M$8:$M$300,Data!$G$8:$G$300,$P87,Data!$D$8:$D$300,V$72,Data!$E$8:$E$300,V$73)</f>
        <v>0</v>
      </c>
      <c r="W87" s="120">
        <f>SUMIFS(Data!$M$8:$M$300,Data!$G$8:$G$300,$P87,Data!$D$8:$D$300,W$72,Data!$E$8:$E$300,W$73)</f>
        <v>0</v>
      </c>
      <c r="X87" s="120">
        <f>SUMIFS(Data!$M$8:$M$300,Data!$G$8:$G$300,$P87,Data!$D$8:$D$300,X$72,Data!$E$8:$E$300,X$73)</f>
        <v>0</v>
      </c>
      <c r="Y87" s="120">
        <f>SUMIFS(Data!$M$8:$M$300,Data!$G$8:$G$300,$P87,Data!$D$8:$D$300,Y$72,Data!$E$8:$E$300,Y$73)</f>
        <v>0</v>
      </c>
      <c r="Z87" s="120">
        <f>SUMIFS(Data!$M$8:$M$300,Data!$G$8:$G$300,$P87,Data!$D$8:$D$300,Z$72,Data!$E$8:$E$300,Z$73)</f>
        <v>0</v>
      </c>
      <c r="AA87" s="120">
        <f>SUMIFS(Data!$M$8:$M$300,Data!$G$8:$G$300,$P87,Data!$D$8:$D$300,AA$72,Data!$E$8:$E$300,AA$73)</f>
        <v>0</v>
      </c>
      <c r="AB87" s="12"/>
      <c r="AC87" s="12"/>
      <c r="AD87" s="105" t="s">
        <v>12</v>
      </c>
      <c r="AE87" s="120">
        <f>SUMIFS(Data!$M$8:$M$300,Data!$G$8:$G$300,$AD87,Data!$D$8:$D$300,AE$72,Data!$B$8:$B$300,$AE$69,Data!$E$8:$E$300,AE$73)</f>
        <v>0</v>
      </c>
      <c r="AF87" s="120">
        <f>SUMIFS(Data!$M$8:$M$300,Data!$G$8:$G$300,$AD87,Data!$D$8:$D$300,AF$72,Data!$B$8:$B$300,$AE$69,Data!$E$8:$E$300,AF$73)</f>
        <v>0</v>
      </c>
      <c r="AG87" s="120">
        <f>SUMIFS(Data!$M$8:$M$300,Data!$G$8:$G$300,$AD87,Data!$D$8:$D$300,AG$72,Data!$B$8:$B$300,$AE$69,Data!$E$8:$E$300,AG$73)</f>
        <v>0</v>
      </c>
      <c r="AH87" s="120">
        <f>SUMIFS(Data!$M$8:$M$300,Data!$G$8:$G$300,$AD87,Data!$D$8:$D$300,AH$72,Data!$B$8:$B$300,$AE$69,Data!$E$8:$E$300,AH$73)</f>
        <v>0</v>
      </c>
      <c r="AI87" s="120">
        <f>SUMIFS(Data!$M$8:$M$300,Data!$G$8:$G$300,$AD87,Data!$D$8:$D$300,AI$72,Data!$B$8:$B$300,$AE$69,Data!$E$8:$E$300,AI$73)</f>
        <v>0</v>
      </c>
      <c r="AJ87" s="120">
        <f>SUMIFS(Data!$M$8:$M$300,Data!$G$8:$G$300,$AD87,Data!$D$8:$D$300,AJ$72,Data!$B$8:$B$300,$AE$69,Data!$E$8:$E$300,AJ$73)</f>
        <v>0</v>
      </c>
      <c r="AK87" s="120">
        <f>SUMIFS(Data!$M$8:$M$300,Data!$G$8:$G$300,$AD87,Data!$D$8:$D$300,AK$72,Data!$B$8:$B$300,$AE$69,Data!$E$8:$E$300,AK$73)</f>
        <v>0</v>
      </c>
      <c r="AL87" s="120">
        <f>SUMIFS(Data!$M$8:$M$300,Data!$G$8:$G$300,$AD87,Data!$D$8:$D$300,AL$72,Data!$B$8:$B$300,$AE$69,Data!$E$8:$E$300,AL$73)</f>
        <v>0</v>
      </c>
      <c r="AM87" s="120">
        <f>SUMIFS(Data!$M$8:$M$300,Data!$G$8:$G$300,$AD87,Data!$D$8:$D$300,AM$72,Data!$B$8:$B$300,$AE$69,Data!$E$8:$E$300,AM$73)</f>
        <v>0</v>
      </c>
    </row>
    <row r="88" spans="1:39" ht="15.75" customHeight="1" thickTop="1" thickBot="1" x14ac:dyDescent="0.25">
      <c r="A88" s="12"/>
      <c r="B88" s="105" t="s">
        <v>77</v>
      </c>
      <c r="C88" s="120">
        <f>SUMIFS(Data!$M$8:$M$300,Data!$G$8:$G$300,$B88,Data!$D$8:$D$300,C$72,Data!$E$8:$E$300,C$73)</f>
        <v>0</v>
      </c>
      <c r="D88" s="120">
        <f>SUMIFS(Data!$M$8:$M$300,Data!$G$8:$G$300,$B88,Data!$D$8:$D$300,D$72,Data!$E$8:$E$300,D$73)</f>
        <v>0</v>
      </c>
      <c r="E88" s="120">
        <f>SUMIFS(Data!$M$8:$M$300,Data!$G$8:$G$300,$B88,Data!$D$8:$D$300,E$72,Data!$E$8:$E$300,E$73)</f>
        <v>0</v>
      </c>
      <c r="F88" s="120">
        <f>SUMIFS(Data!$M$8:$M$300,Data!$G$8:$G$300,$B88,Data!$D$8:$D$300,F$72,Data!$E$8:$E$300,F$73)</f>
        <v>0</v>
      </c>
      <c r="G88" s="120">
        <f>SUMIFS(Data!$M$8:$M$300,Data!$G$8:$G$300,$B88,Data!$D$8:$D$300,G$72,Data!$E$8:$E$300,G$73)</f>
        <v>0</v>
      </c>
      <c r="H88" s="120">
        <f>SUMIFS(Data!$M$8:$M$300,Data!$G$8:$G$300,$B88,Data!$D$8:$D$300,H$72,Data!$E$8:$E$300,H$73)</f>
        <v>0</v>
      </c>
      <c r="I88" s="120">
        <f>SUMIFS(Data!$M$8:$M$300,Data!$G$8:$G$300,$B88,Data!$D$8:$D$300,I$72,Data!$E$8:$E$300,I$73)</f>
        <v>0</v>
      </c>
      <c r="J88" s="214"/>
      <c r="K88" s="214"/>
      <c r="L88" s="214"/>
      <c r="M88" s="214"/>
      <c r="O88" s="12"/>
      <c r="P88" s="105" t="s">
        <v>77</v>
      </c>
      <c r="Q88" s="120">
        <f>SUMIFS(Data!$M$8:$M$300,Data!$G$8:$G$300,$P88,Data!$D$8:$D$300,Q$72,Data!$E$8:$E$300,Q$73)</f>
        <v>0</v>
      </c>
      <c r="R88" s="120">
        <f>SUMIFS(Data!$M$8:$M$300,Data!$G$8:$G$300,$P88,Data!$D$8:$D$300,R$72,Data!$E$8:$E$300,R$73)</f>
        <v>0</v>
      </c>
      <c r="S88" s="120">
        <f>SUMIFS(Data!$M$8:$M$300,Data!$G$8:$G$300,$P88,Data!$D$8:$D$300,S$72,Data!$E$8:$E$300,S$73)</f>
        <v>0</v>
      </c>
      <c r="T88" s="120">
        <f>SUMIFS(Data!$M$8:$M$300,Data!$G$8:$G$300,$P88,Data!$D$8:$D$300,T$72,Data!$E$8:$E$300,T$73)</f>
        <v>0</v>
      </c>
      <c r="U88" s="120">
        <f>SUMIFS(Data!$M$8:$M$300,Data!$G$8:$G$300,$P88,Data!$D$8:$D$300,U$72,Data!$E$8:$E$300,U$73)</f>
        <v>0</v>
      </c>
      <c r="V88" s="120">
        <f>SUMIFS(Data!$M$8:$M$300,Data!$G$8:$G$300,$P88,Data!$D$8:$D$300,V$72,Data!$E$8:$E$300,V$73)</f>
        <v>0</v>
      </c>
      <c r="W88" s="120">
        <f>SUMIFS(Data!$M$8:$M$300,Data!$G$8:$G$300,$P88,Data!$D$8:$D$300,W$72,Data!$E$8:$E$300,W$73)</f>
        <v>0</v>
      </c>
      <c r="X88" s="214"/>
      <c r="Y88" s="214"/>
      <c r="Z88" s="214"/>
      <c r="AA88" s="214"/>
      <c r="AB88" s="12"/>
      <c r="AC88" s="12"/>
      <c r="AD88" s="105" t="s">
        <v>77</v>
      </c>
      <c r="AE88" s="120">
        <f>SUMIFS(Data!$M$8:$M$300,Data!$G$8:$G$300,$AD88,Data!$D$8:$D$300,AE$72,Data!$B$8:$B$300,$AE$69,Data!$E$8:$E$300,AE$73)</f>
        <v>0</v>
      </c>
      <c r="AF88" s="120">
        <f>SUMIFS(Data!$M$8:$M$300,Data!$G$8:$G$300,$AD88,Data!$D$8:$D$300,AF$72,Data!$B$8:$B$300,$AE$69,Data!$E$8:$E$300,AF$73)</f>
        <v>0</v>
      </c>
      <c r="AG88" s="120">
        <f>SUMIFS(Data!$M$8:$M$300,Data!$G$8:$G$300,$AD88,Data!$D$8:$D$300,AG$72,Data!$B$8:$B$300,$AE$69,Data!$E$8:$E$300,AG$73)</f>
        <v>0</v>
      </c>
      <c r="AH88" s="120">
        <f>SUMIFS(Data!$M$8:$M$300,Data!$G$8:$G$300,$AD88,Data!$D$8:$D$300,AH$72,Data!$B$8:$B$300,$AE$69,Data!$E$8:$E$300,AH$73)</f>
        <v>0</v>
      </c>
      <c r="AI88" s="120">
        <f>SUMIFS(Data!$M$8:$M$300,Data!$G$8:$G$300,$AD88,Data!$D$8:$D$300,AI$72,Data!$B$8:$B$300,$AE$69,Data!$E$8:$E$300,AI$73)</f>
        <v>0</v>
      </c>
      <c r="AJ88" s="120">
        <f>SUMIFS(Data!$M$8:$M$300,Data!$G$8:$G$300,$AD88,Data!$D$8:$D$300,AJ$72,Data!$B$8:$B$300,$AE$69,Data!$E$8:$E$300,AJ$73)</f>
        <v>0</v>
      </c>
      <c r="AK88" s="120">
        <f>SUMIFS(Data!$M$8:$M$300,Data!$G$8:$G$300,$AD88,Data!$D$8:$D$300,AK$72,Data!$B$8:$B$300,$AE$69,Data!$E$8:$E$300,AK$73)</f>
        <v>0</v>
      </c>
      <c r="AL88" s="120">
        <f>SUMIFS(Data!$M$8:$M$300,Data!$G$8:$G$300,$AD88,Data!$D$8:$D$300,AL$72,Data!$B$8:$B$300,$AE$69,Data!$E$8:$E$300,AL$73)</f>
        <v>0</v>
      </c>
      <c r="AM88" s="120">
        <f>SUMIFS(Data!$M$8:$M$300,Data!$G$8:$G$300,$AD88,Data!$D$8:$D$300,AM$72,Data!$B$8:$B$300,$AE$69,Data!$E$8:$E$300,AM$73)</f>
        <v>0</v>
      </c>
    </row>
    <row r="89" spans="1:39" ht="15.75" customHeight="1" thickTop="1" thickBot="1" x14ac:dyDescent="0.25">
      <c r="A89" s="12"/>
      <c r="B89" s="105" t="s">
        <v>98</v>
      </c>
      <c r="C89" s="120">
        <f>SUMIFS(Data!$M$8:$M$300,Data!$G$8:$G$300,$B89,Data!$D$8:$D$300,C$72,Data!$E$8:$E$300,C$73)</f>
        <v>0</v>
      </c>
      <c r="D89" s="120">
        <f>SUMIFS(Data!$M$8:$M$300,Data!$G$8:$G$300,$B89,Data!$D$8:$D$300,D$72,Data!$E$8:$E$300,D$73)</f>
        <v>0</v>
      </c>
      <c r="E89" s="120">
        <f>SUMIFS(Data!$M$8:$M$300,Data!$G$8:$G$300,$B89,Data!$D$8:$D$300,E$72,Data!$E$8:$E$300,E$73)</f>
        <v>0</v>
      </c>
      <c r="F89" s="120">
        <f>SUMIFS(Data!$M$8:$M$300,Data!$G$8:$G$300,$B89,Data!$D$8:$D$300,F$72,Data!$E$8:$E$300,F$73)</f>
        <v>0</v>
      </c>
      <c r="G89" s="120">
        <f>SUMIFS(Data!$M$8:$M$300,Data!$G$8:$G$300,$B89,Data!$D$8:$D$300,G$72,Data!$E$8:$E$300,G$73)</f>
        <v>0</v>
      </c>
      <c r="H89" s="120">
        <f>SUMIFS(Data!$M$8:$M$300,Data!$G$8:$G$300,$B89,Data!$D$8:$D$300,H$72,Data!$E$8:$E$300,H$73)</f>
        <v>0</v>
      </c>
      <c r="I89" s="120">
        <f>SUMIFS(Data!$M$8:$M$300,Data!$G$8:$G$300,$B89,Data!$D$8:$D$300,I$72,Data!$E$8:$E$300,I$73)</f>
        <v>0</v>
      </c>
      <c r="J89" s="214"/>
      <c r="K89" s="214"/>
      <c r="L89" s="214"/>
      <c r="M89" s="214"/>
      <c r="O89" s="12"/>
      <c r="P89" s="105" t="s">
        <v>98</v>
      </c>
      <c r="Q89" s="120">
        <f>SUMIFS(Data!$M$8:$M$300,Data!$G$8:$G$300,$P89,Data!$D$8:$D$300,Q$72,Data!$E$8:$E$300,Q$73)</f>
        <v>0</v>
      </c>
      <c r="R89" s="120">
        <f>SUMIFS(Data!$M$8:$M$300,Data!$G$8:$G$300,$P89,Data!$D$8:$D$300,R$72,Data!$E$8:$E$300,R$73)</f>
        <v>0</v>
      </c>
      <c r="S89" s="120">
        <f>SUMIFS(Data!$M$8:$M$300,Data!$G$8:$G$300,$P89,Data!$D$8:$D$300,S$72,Data!$E$8:$E$300,S$73)</f>
        <v>0</v>
      </c>
      <c r="T89" s="120">
        <f>SUMIFS(Data!$M$8:$M$300,Data!$G$8:$G$300,$P89,Data!$D$8:$D$300,T$72,Data!$E$8:$E$300,T$73)</f>
        <v>0</v>
      </c>
      <c r="U89" s="120">
        <f>SUMIFS(Data!$M$8:$M$300,Data!$G$8:$G$300,$P89,Data!$D$8:$D$300,U$72,Data!$E$8:$E$300,U$73)</f>
        <v>0</v>
      </c>
      <c r="V89" s="120">
        <f>SUMIFS(Data!$M$8:$M$300,Data!$G$8:$G$300,$P89,Data!$D$8:$D$300,V$72,Data!$E$8:$E$300,V$73)</f>
        <v>0</v>
      </c>
      <c r="W89" s="120">
        <f>SUMIFS(Data!$M$8:$M$300,Data!$G$8:$G$300,$P89,Data!$D$8:$D$300,W$72,Data!$E$8:$E$300,W$73)</f>
        <v>0</v>
      </c>
      <c r="X89" s="214"/>
      <c r="Y89" s="214"/>
      <c r="Z89" s="214"/>
      <c r="AA89" s="214"/>
      <c r="AB89" s="12"/>
      <c r="AC89" s="12"/>
      <c r="AD89" s="105" t="s">
        <v>98</v>
      </c>
      <c r="AE89" s="120">
        <f>SUMIFS(Data!$M$8:$M$300,Data!$G$8:$G$300,$AD89,Data!$D$8:$D$300,AE$72,Data!$B$8:$B$300,$AE$69,Data!$E$8:$E$300,AE$73)</f>
        <v>0</v>
      </c>
      <c r="AF89" s="120">
        <f>SUMIFS(Data!$M$8:$M$300,Data!$G$8:$G$300,$AD89,Data!$D$8:$D$300,AF$72,Data!$B$8:$B$300,$AE$69,Data!$E$8:$E$300,AF$73)</f>
        <v>0</v>
      </c>
      <c r="AG89" s="120">
        <f>SUMIFS(Data!$M$8:$M$300,Data!$G$8:$G$300,$AD89,Data!$D$8:$D$300,AG$72,Data!$B$8:$B$300,$AE$69,Data!$E$8:$E$300,AG$73)</f>
        <v>0</v>
      </c>
      <c r="AH89" s="120">
        <f>SUMIFS(Data!$M$8:$M$300,Data!$G$8:$G$300,$AD89,Data!$D$8:$D$300,AH$72,Data!$B$8:$B$300,$AE$69,Data!$E$8:$E$300,AH$73)</f>
        <v>0</v>
      </c>
      <c r="AI89" s="120">
        <f>SUMIFS(Data!$M$8:$M$300,Data!$G$8:$G$300,$AD89,Data!$D$8:$D$300,AI$72,Data!$B$8:$B$300,$AE$69,Data!$E$8:$E$300,AI$73)</f>
        <v>0</v>
      </c>
      <c r="AJ89" s="120">
        <f>SUMIFS(Data!$M$8:$M$300,Data!$G$8:$G$300,$AD89,Data!$D$8:$D$300,AJ$72,Data!$B$8:$B$300,$AE$69,Data!$E$8:$E$300,AJ$73)</f>
        <v>0</v>
      </c>
      <c r="AK89" s="120">
        <f>SUMIFS(Data!$M$8:$M$300,Data!$G$8:$G$300,$AD89,Data!$D$8:$D$300,AK$72,Data!$B$8:$B$300,$AE$69,Data!$E$8:$E$300,AK$73)</f>
        <v>0</v>
      </c>
      <c r="AL89" s="120">
        <f>SUMIFS(Data!$M$8:$M$300,Data!$G$8:$G$300,$AD89,Data!$D$8:$D$300,AL$72,Data!$B$8:$B$300,$AE$69,Data!$E$8:$E$300,AL$73)</f>
        <v>0</v>
      </c>
      <c r="AM89" s="120">
        <f>SUMIFS(Data!$M$8:$M$300,Data!$G$8:$G$300,$AD89,Data!$D$8:$D$300,AM$72,Data!$B$8:$B$300,$AE$69,Data!$E$8:$E$300,AM$73)</f>
        <v>0</v>
      </c>
    </row>
    <row r="90" spans="1:39" ht="15.75" customHeight="1" thickTop="1" thickBot="1" x14ac:dyDescent="0.25">
      <c r="A90" s="12"/>
      <c r="B90" s="105" t="s">
        <v>74</v>
      </c>
      <c r="C90" s="120">
        <f>SUMIFS(Data!$M$8:$M$300,Data!$G$8:$G$300,$B90,Data!$D$8:$D$300,C$72,Data!$E$8:$E$300,C$73)</f>
        <v>0</v>
      </c>
      <c r="D90" s="120">
        <f>SUMIFS(Data!$M$8:$M$300,Data!$G$8:$G$300,$B90,Data!$D$8:$D$300,D$72,Data!$E$8:$E$300,D$73)</f>
        <v>0</v>
      </c>
      <c r="E90" s="120">
        <f>SUMIFS(Data!$M$8:$M$300,Data!$G$8:$G$300,$B90,Data!$D$8:$D$300,E$72,Data!$E$8:$E$300,E$73)</f>
        <v>0</v>
      </c>
      <c r="F90" s="120">
        <f>SUMIFS(Data!$M$8:$M$300,Data!$G$8:$G$300,$B90,Data!$D$8:$D$300,F$72,Data!$E$8:$E$300,F$73)</f>
        <v>0</v>
      </c>
      <c r="G90" s="120">
        <f>SUMIFS(Data!$M$8:$M$300,Data!$G$8:$G$300,$B90,Data!$D$8:$D$300,G$72,Data!$E$8:$E$300,G$73)</f>
        <v>0</v>
      </c>
      <c r="H90" s="120">
        <f>SUMIFS(Data!$M$8:$M$300,Data!$G$8:$G$300,$B90,Data!$D$8:$D$300,H$72,Data!$E$8:$E$300,H$73)</f>
        <v>0</v>
      </c>
      <c r="I90" s="120">
        <f>SUMIFS(Data!$M$8:$M$300,Data!$G$8:$G$300,$B90,Data!$D$8:$D$300,I$72,Data!$E$8:$E$300,I$73)</f>
        <v>0</v>
      </c>
      <c r="J90" s="214"/>
      <c r="K90" s="214"/>
      <c r="L90" s="214"/>
      <c r="M90" s="214"/>
      <c r="O90" s="12"/>
      <c r="P90" s="105" t="s">
        <v>74</v>
      </c>
      <c r="Q90" s="120">
        <f>SUMIFS(Data!$M$8:$M$300,Data!$G$8:$G$300,$P90,Data!$D$8:$D$300,Q$72,Data!$E$8:$E$300,Q$73)</f>
        <v>0</v>
      </c>
      <c r="R90" s="120">
        <f>SUMIFS(Data!$M$8:$M$300,Data!$G$8:$G$300,$P90,Data!$D$8:$D$300,R$72,Data!$E$8:$E$300,R$73)</f>
        <v>0</v>
      </c>
      <c r="S90" s="120">
        <f>SUMIFS(Data!$M$8:$M$300,Data!$G$8:$G$300,$P90,Data!$D$8:$D$300,S$72,Data!$E$8:$E$300,S$73)</f>
        <v>0</v>
      </c>
      <c r="T90" s="120">
        <f>SUMIFS(Data!$M$8:$M$300,Data!$G$8:$G$300,$P90,Data!$D$8:$D$300,T$72,Data!$E$8:$E$300,T$73)</f>
        <v>0</v>
      </c>
      <c r="U90" s="120">
        <f>SUMIFS(Data!$M$8:$M$300,Data!$G$8:$G$300,$P90,Data!$D$8:$D$300,U$72,Data!$E$8:$E$300,U$73)</f>
        <v>0</v>
      </c>
      <c r="V90" s="120">
        <f>SUMIFS(Data!$M$8:$M$300,Data!$G$8:$G$300,$P90,Data!$D$8:$D$300,V$72,Data!$E$8:$E$300,V$73)</f>
        <v>0</v>
      </c>
      <c r="W90" s="120">
        <f>SUMIFS(Data!$M$8:$M$300,Data!$G$8:$G$300,$P90,Data!$D$8:$D$300,W$72,Data!$E$8:$E$300,W$73)</f>
        <v>0</v>
      </c>
      <c r="X90" s="214"/>
      <c r="Y90" s="214"/>
      <c r="Z90" s="214"/>
      <c r="AA90" s="214"/>
      <c r="AB90" s="12"/>
      <c r="AC90" s="12"/>
      <c r="AD90" s="105" t="s">
        <v>74</v>
      </c>
      <c r="AE90" s="120">
        <f>SUMIFS(Data!$M$8:$M$300,Data!$G$8:$G$300,$AD90,Data!$D$8:$D$300,AE$72,Data!$B$8:$B$300,$AE$69,Data!$E$8:$E$300,AE$73)</f>
        <v>0</v>
      </c>
      <c r="AF90" s="120">
        <f>SUMIFS(Data!$M$8:$M$300,Data!$G$8:$G$300,$AD90,Data!$D$8:$D$300,AF$72,Data!$B$8:$B$300,$AE$69,Data!$E$8:$E$300,AF$73)</f>
        <v>0</v>
      </c>
      <c r="AG90" s="120">
        <f>SUMIFS(Data!$M$8:$M$300,Data!$G$8:$G$300,$AD90,Data!$D$8:$D$300,AG$72,Data!$B$8:$B$300,$AE$69,Data!$E$8:$E$300,AG$73)</f>
        <v>0</v>
      </c>
      <c r="AH90" s="120">
        <f>SUMIFS(Data!$M$8:$M$300,Data!$G$8:$G$300,$AD90,Data!$D$8:$D$300,AH$72,Data!$B$8:$B$300,$AE$69,Data!$E$8:$E$300,AH$73)</f>
        <v>0</v>
      </c>
      <c r="AI90" s="120">
        <f>SUMIFS(Data!$M$8:$M$300,Data!$G$8:$G$300,$AD90,Data!$D$8:$D$300,AI$72,Data!$B$8:$B$300,$AE$69,Data!$E$8:$E$300,AI$73)</f>
        <v>0</v>
      </c>
      <c r="AJ90" s="120">
        <f>SUMIFS(Data!$M$8:$M$300,Data!$G$8:$G$300,$AD90,Data!$D$8:$D$300,AJ$72,Data!$B$8:$B$300,$AE$69,Data!$E$8:$E$300,AJ$73)</f>
        <v>0</v>
      </c>
      <c r="AK90" s="120">
        <f>SUMIFS(Data!$M$8:$M$300,Data!$G$8:$G$300,$AD90,Data!$D$8:$D$300,AK$72,Data!$B$8:$B$300,$AE$69,Data!$E$8:$E$300,AK$73)</f>
        <v>0</v>
      </c>
      <c r="AL90" s="120">
        <f>SUMIFS(Data!$M$8:$M$300,Data!$G$8:$G$300,$AD90,Data!$D$8:$D$300,AL$72,Data!$B$8:$B$300,$AE$69,Data!$E$8:$E$300,AL$73)</f>
        <v>0</v>
      </c>
      <c r="AM90" s="120">
        <f>SUMIFS(Data!$M$8:$M$300,Data!$G$8:$G$300,$AD90,Data!$D$8:$D$300,AM$72,Data!$B$8:$B$300,$AE$69,Data!$E$8:$E$300,AM$73)</f>
        <v>0</v>
      </c>
    </row>
    <row r="91" spans="1:39" ht="15.75" customHeight="1" thickTop="1" thickBot="1" x14ac:dyDescent="0.25">
      <c r="A91" s="12"/>
      <c r="B91" s="105" t="s">
        <v>75</v>
      </c>
      <c r="C91" s="120">
        <f>SUMIFS(Data!$M$8:$M$300,Data!$G$8:$G$300,$B91,Data!$D$8:$D$300,C$72,Data!$E$8:$E$300,C$73)</f>
        <v>0</v>
      </c>
      <c r="D91" s="120">
        <f>SUMIFS(Data!$M$8:$M$300,Data!$G$8:$G$300,$B91,Data!$D$8:$D$300,D$72,Data!$E$8:$E$300,D$73)</f>
        <v>0</v>
      </c>
      <c r="E91" s="120">
        <f>SUMIFS(Data!$M$8:$M$300,Data!$G$8:$G$300,$B91,Data!$D$8:$D$300,E$72,Data!$E$8:$E$300,E$73)</f>
        <v>0</v>
      </c>
      <c r="F91" s="120">
        <f>SUMIFS(Data!$M$8:$M$300,Data!$G$8:$G$300,$B91,Data!$D$8:$D$300,F$72,Data!$E$8:$E$300,F$73)</f>
        <v>0</v>
      </c>
      <c r="G91" s="120">
        <f>SUMIFS(Data!$M$8:$M$300,Data!$G$8:$G$300,$B91,Data!$D$8:$D$300,G$72,Data!$E$8:$E$300,G$73)</f>
        <v>0</v>
      </c>
      <c r="H91" s="120">
        <f>SUMIFS(Data!$M$8:$M$300,Data!$G$8:$G$300,$B91,Data!$D$8:$D$300,H$72,Data!$E$8:$E$300,H$73)</f>
        <v>0</v>
      </c>
      <c r="I91" s="120">
        <f>SUMIFS(Data!$M$8:$M$300,Data!$G$8:$G$300,$B91,Data!$D$8:$D$300,I$72,Data!$E$8:$E$300,I$73)</f>
        <v>0</v>
      </c>
      <c r="J91" s="214"/>
      <c r="K91" s="214"/>
      <c r="L91" s="214"/>
      <c r="M91" s="214"/>
      <c r="O91" s="12"/>
      <c r="P91" s="105" t="s">
        <v>75</v>
      </c>
      <c r="Q91" s="120">
        <f>SUMIFS(Data!$M$8:$M$300,Data!$G$8:$G$300,$P91,Data!$D$8:$D$300,Q$72,Data!$E$8:$E$300,Q$73)</f>
        <v>0</v>
      </c>
      <c r="R91" s="120">
        <f>SUMIFS(Data!$M$8:$M$300,Data!$G$8:$G$300,$P91,Data!$D$8:$D$300,R$72,Data!$E$8:$E$300,R$73)</f>
        <v>0</v>
      </c>
      <c r="S91" s="120">
        <f>SUMIFS(Data!$M$8:$M$300,Data!$G$8:$G$300,$P91,Data!$D$8:$D$300,S$72,Data!$E$8:$E$300,S$73)</f>
        <v>0</v>
      </c>
      <c r="T91" s="120">
        <f>SUMIFS(Data!$M$8:$M$300,Data!$G$8:$G$300,$P91,Data!$D$8:$D$300,T$72,Data!$E$8:$E$300,T$73)</f>
        <v>0</v>
      </c>
      <c r="U91" s="120">
        <f>SUMIFS(Data!$M$8:$M$300,Data!$G$8:$G$300,$P91,Data!$D$8:$D$300,U$72,Data!$E$8:$E$300,U$73)</f>
        <v>0</v>
      </c>
      <c r="V91" s="120">
        <f>SUMIFS(Data!$M$8:$M$300,Data!$G$8:$G$300,$P91,Data!$D$8:$D$300,V$72,Data!$E$8:$E$300,V$73)</f>
        <v>0</v>
      </c>
      <c r="W91" s="120">
        <f>SUMIFS(Data!$M$8:$M$300,Data!$G$8:$G$300,$P91,Data!$D$8:$D$300,W$72,Data!$E$8:$E$300,W$73)</f>
        <v>0</v>
      </c>
      <c r="X91" s="214"/>
      <c r="Y91" s="214"/>
      <c r="Z91" s="214"/>
      <c r="AA91" s="214"/>
      <c r="AB91" s="12"/>
      <c r="AC91" s="12"/>
      <c r="AD91" s="105" t="s">
        <v>75</v>
      </c>
      <c r="AE91" s="120">
        <f>SUMIFS(Data!$M$8:$M$300,Data!$G$8:$G$300,$AD91,Data!$D$8:$D$300,AE$72,Data!$B$8:$B$300,$AE$69,Data!$E$8:$E$300,AE$73)</f>
        <v>0</v>
      </c>
      <c r="AF91" s="120">
        <f>SUMIFS(Data!$M$8:$M$300,Data!$G$8:$G$300,$AD91,Data!$D$8:$D$300,AF$72,Data!$B$8:$B$300,$AE$69,Data!$E$8:$E$300,AF$73)</f>
        <v>0</v>
      </c>
      <c r="AG91" s="120">
        <f>SUMIFS(Data!$M$8:$M$300,Data!$G$8:$G$300,$AD91,Data!$D$8:$D$300,AG$72,Data!$B$8:$B$300,$AE$69,Data!$E$8:$E$300,AG$73)</f>
        <v>0</v>
      </c>
      <c r="AH91" s="120">
        <f>SUMIFS(Data!$M$8:$M$300,Data!$G$8:$G$300,$AD91,Data!$D$8:$D$300,AH$72,Data!$B$8:$B$300,$AE$69,Data!$E$8:$E$300,AH$73)</f>
        <v>0</v>
      </c>
      <c r="AI91" s="120">
        <f>SUMIFS(Data!$M$8:$M$300,Data!$G$8:$G$300,$AD91,Data!$D$8:$D$300,AI$72,Data!$B$8:$B$300,$AE$69,Data!$E$8:$E$300,AI$73)</f>
        <v>0</v>
      </c>
      <c r="AJ91" s="120">
        <f>SUMIFS(Data!$M$8:$M$300,Data!$G$8:$G$300,$AD91,Data!$D$8:$D$300,AJ$72,Data!$B$8:$B$300,$AE$69,Data!$E$8:$E$300,AJ$73)</f>
        <v>0</v>
      </c>
      <c r="AK91" s="120">
        <f>SUMIFS(Data!$M$8:$M$300,Data!$G$8:$G$300,$AD91,Data!$D$8:$D$300,AK$72,Data!$B$8:$B$300,$AE$69,Data!$E$8:$E$300,AK$73)</f>
        <v>0</v>
      </c>
      <c r="AL91" s="120">
        <f>SUMIFS(Data!$M$8:$M$300,Data!$G$8:$G$300,$AD91,Data!$D$8:$D$300,AL$72,Data!$B$8:$B$300,$AE$69,Data!$E$8:$E$300,AL$73)</f>
        <v>0</v>
      </c>
      <c r="AM91" s="120">
        <f>SUMIFS(Data!$M$8:$M$300,Data!$G$8:$G$300,$AD91,Data!$D$8:$D$300,AM$72,Data!$B$8:$B$300,$AE$69,Data!$E$8:$E$300,AM$73)</f>
        <v>0</v>
      </c>
    </row>
    <row r="92" spans="1:39" ht="15.75" customHeight="1" thickTop="1" thickBot="1" x14ac:dyDescent="0.25">
      <c r="A92" s="12"/>
      <c r="B92" s="105" t="s">
        <v>76</v>
      </c>
      <c r="C92" s="120">
        <f>SUMIFS(Data!$M$8:$M$300,Data!$G$8:$G$300,$B92,Data!$D$8:$D$300,C$72,Data!$E$8:$E$300,C$73)</f>
        <v>0</v>
      </c>
      <c r="D92" s="120">
        <f>SUMIFS(Data!$M$8:$M$300,Data!$G$8:$G$300,$B92,Data!$D$8:$D$300,D$72,Data!$E$8:$E$300,D$73)</f>
        <v>0</v>
      </c>
      <c r="E92" s="120">
        <f>SUMIFS(Data!$M$8:$M$300,Data!$G$8:$G$300,$B92,Data!$D$8:$D$300,E$72,Data!$E$8:$E$300,E$73)</f>
        <v>0</v>
      </c>
      <c r="F92" s="120">
        <f>SUMIFS(Data!$M$8:$M$300,Data!$G$8:$G$300,$B92,Data!$D$8:$D$300,F$72,Data!$E$8:$E$300,F$73)</f>
        <v>0</v>
      </c>
      <c r="G92" s="120">
        <f>SUMIFS(Data!$M$8:$M$300,Data!$G$8:$G$300,$B92,Data!$D$8:$D$300,G$72,Data!$E$8:$E$300,G$73)</f>
        <v>0</v>
      </c>
      <c r="H92" s="120">
        <f>SUMIFS(Data!$M$8:$M$300,Data!$G$8:$G$300,$B92,Data!$D$8:$D$300,H$72,Data!$E$8:$E$300,H$73)</f>
        <v>0</v>
      </c>
      <c r="I92" s="120">
        <f>SUMIFS(Data!$M$8:$M$300,Data!$G$8:$G$300,$B92,Data!$D$8:$D$300,I$72,Data!$E$8:$E$300,I$73)</f>
        <v>0</v>
      </c>
      <c r="J92" s="214"/>
      <c r="K92" s="214"/>
      <c r="L92" s="214"/>
      <c r="M92" s="214"/>
      <c r="O92" s="12"/>
      <c r="P92" s="105" t="s">
        <v>76</v>
      </c>
      <c r="Q92" s="120">
        <f>SUMIFS(Data!$M$8:$M$300,Data!$G$8:$G$300,$P92,Data!$D$8:$D$300,Q$72,Data!$E$8:$E$300,Q$73)</f>
        <v>0</v>
      </c>
      <c r="R92" s="120">
        <f>SUMIFS(Data!$M$8:$M$300,Data!$G$8:$G$300,$P92,Data!$D$8:$D$300,R$72,Data!$E$8:$E$300,R$73)</f>
        <v>0</v>
      </c>
      <c r="S92" s="120">
        <f>SUMIFS(Data!$M$8:$M$300,Data!$G$8:$G$300,$P92,Data!$D$8:$D$300,S$72,Data!$E$8:$E$300,S$73)</f>
        <v>0</v>
      </c>
      <c r="T92" s="120">
        <f>SUMIFS(Data!$M$8:$M$300,Data!$G$8:$G$300,$P92,Data!$D$8:$D$300,T$72,Data!$E$8:$E$300,T$73)</f>
        <v>0</v>
      </c>
      <c r="U92" s="120">
        <f>SUMIFS(Data!$M$8:$M$300,Data!$G$8:$G$300,$P92,Data!$D$8:$D$300,U$72,Data!$E$8:$E$300,U$73)</f>
        <v>0</v>
      </c>
      <c r="V92" s="120">
        <f>SUMIFS(Data!$M$8:$M$300,Data!$G$8:$G$300,$P92,Data!$D$8:$D$300,V$72,Data!$E$8:$E$300,V$73)</f>
        <v>0</v>
      </c>
      <c r="W92" s="120">
        <f>SUMIFS(Data!$M$8:$M$300,Data!$G$8:$G$300,$P92,Data!$D$8:$D$300,W$72,Data!$E$8:$E$300,W$73)</f>
        <v>0</v>
      </c>
      <c r="X92" s="214"/>
      <c r="Y92" s="214"/>
      <c r="Z92" s="214"/>
      <c r="AA92" s="214"/>
      <c r="AB92" s="12"/>
      <c r="AC92" s="12"/>
      <c r="AD92" s="105" t="s">
        <v>76</v>
      </c>
      <c r="AE92" s="120">
        <f>SUMIFS(Data!$M$8:$M$300,Data!$G$8:$G$300,$AD92,Data!$D$8:$D$300,AE$72,Data!$B$8:$B$300,$AE$69,Data!$E$8:$E$300,AE$73)</f>
        <v>0</v>
      </c>
      <c r="AF92" s="120">
        <f>SUMIFS(Data!$M$8:$M$300,Data!$G$8:$G$300,$AD92,Data!$D$8:$D$300,AF$72,Data!$B$8:$B$300,$AE$69,Data!$E$8:$E$300,AF$73)</f>
        <v>0</v>
      </c>
      <c r="AG92" s="120">
        <f>SUMIFS(Data!$M$8:$M$300,Data!$G$8:$G$300,$AD92,Data!$D$8:$D$300,AG$72,Data!$B$8:$B$300,$AE$69,Data!$E$8:$E$300,AG$73)</f>
        <v>0</v>
      </c>
      <c r="AH92" s="120">
        <f>SUMIFS(Data!$M$8:$M$300,Data!$G$8:$G$300,$AD92,Data!$D$8:$D$300,AH$72,Data!$B$8:$B$300,$AE$69,Data!$E$8:$E$300,AH$73)</f>
        <v>0</v>
      </c>
      <c r="AI92" s="120">
        <f>SUMIFS(Data!$M$8:$M$300,Data!$G$8:$G$300,$AD92,Data!$D$8:$D$300,AI$72,Data!$B$8:$B$300,$AE$69,Data!$E$8:$E$300,AI$73)</f>
        <v>0</v>
      </c>
      <c r="AJ92" s="120">
        <f>SUMIFS(Data!$M$8:$M$300,Data!$G$8:$G$300,$AD92,Data!$D$8:$D$300,AJ$72,Data!$B$8:$B$300,$AE$69,Data!$E$8:$E$300,AJ$73)</f>
        <v>0</v>
      </c>
      <c r="AK92" s="120">
        <f>SUMIFS(Data!$M$8:$M$300,Data!$G$8:$G$300,$AD92,Data!$D$8:$D$300,AK$72,Data!$B$8:$B$300,$AE$69,Data!$E$8:$E$300,AK$73)</f>
        <v>0</v>
      </c>
      <c r="AL92" s="120">
        <f>SUMIFS(Data!$M$8:$M$300,Data!$G$8:$G$300,$AD92,Data!$D$8:$D$300,AL$72,Data!$B$8:$B$300,$AE$69,Data!$E$8:$E$300,AL$73)</f>
        <v>0</v>
      </c>
      <c r="AM92" s="120">
        <f>SUMIFS(Data!$M$8:$M$300,Data!$G$8:$G$300,$AD92,Data!$D$8:$D$300,AM$72,Data!$B$8:$B$300,$AE$69,Data!$E$8:$E$300,AM$73)</f>
        <v>0</v>
      </c>
    </row>
    <row r="93" spans="1:39" ht="15.75" customHeight="1" thickTop="1" thickBot="1" x14ac:dyDescent="0.25">
      <c r="A93" s="5"/>
      <c r="B93" s="110" t="s">
        <v>48</v>
      </c>
      <c r="C93" s="111">
        <f>SUM(C87:C92)</f>
        <v>0</v>
      </c>
      <c r="D93" s="111">
        <f t="shared" ref="D93:I93" si="79">SUM(D87:D92)</f>
        <v>0</v>
      </c>
      <c r="E93" s="111">
        <f t="shared" si="79"/>
        <v>0</v>
      </c>
      <c r="F93" s="111">
        <f t="shared" si="79"/>
        <v>0</v>
      </c>
      <c r="G93" s="111">
        <f t="shared" si="79"/>
        <v>0</v>
      </c>
      <c r="H93" s="111">
        <f t="shared" si="79"/>
        <v>0</v>
      </c>
      <c r="I93" s="111">
        <f t="shared" si="79"/>
        <v>0</v>
      </c>
      <c r="J93" s="111">
        <f t="shared" ref="J93" si="80">SUM(J87:J87)</f>
        <v>0</v>
      </c>
      <c r="K93" s="111">
        <f t="shared" ref="K93:M93" si="81">SUM(K87:K87)</f>
        <v>0</v>
      </c>
      <c r="L93" s="111">
        <f t="shared" si="81"/>
        <v>0</v>
      </c>
      <c r="M93" s="112">
        <f t="shared" si="81"/>
        <v>0</v>
      </c>
      <c r="O93" s="12"/>
      <c r="P93" s="110" t="s">
        <v>48</v>
      </c>
      <c r="Q93" s="111">
        <f>SUM(Q87:Q92)</f>
        <v>0</v>
      </c>
      <c r="R93" s="111">
        <f t="shared" ref="R93:W93" si="82">SUM(R87:R92)</f>
        <v>0</v>
      </c>
      <c r="S93" s="111">
        <f t="shared" si="82"/>
        <v>0</v>
      </c>
      <c r="T93" s="111">
        <f t="shared" si="82"/>
        <v>0</v>
      </c>
      <c r="U93" s="111">
        <f t="shared" si="82"/>
        <v>0</v>
      </c>
      <c r="V93" s="111">
        <f t="shared" si="82"/>
        <v>0</v>
      </c>
      <c r="W93" s="111">
        <f t="shared" si="82"/>
        <v>0</v>
      </c>
      <c r="X93" s="111">
        <f t="shared" ref="X93" si="83">SUM(X87:X87)</f>
        <v>0</v>
      </c>
      <c r="Y93" s="111">
        <f t="shared" ref="Y93:AA93" si="84">SUM(Y87:Y87)</f>
        <v>0</v>
      </c>
      <c r="Z93" s="111">
        <f t="shared" si="84"/>
        <v>0</v>
      </c>
      <c r="AA93" s="111">
        <f t="shared" si="84"/>
        <v>0</v>
      </c>
      <c r="AB93" s="12"/>
      <c r="AC93" s="12"/>
      <c r="AD93" s="110" t="s">
        <v>48</v>
      </c>
      <c r="AE93" s="111">
        <f>SUM(AE87:AE92)</f>
        <v>0</v>
      </c>
      <c r="AF93" s="111">
        <f t="shared" ref="AF93:AK93" si="85">SUM(AF87:AF92)</f>
        <v>0</v>
      </c>
      <c r="AG93" s="111">
        <f t="shared" si="85"/>
        <v>0</v>
      </c>
      <c r="AH93" s="111">
        <f t="shared" si="85"/>
        <v>0</v>
      </c>
      <c r="AI93" s="111">
        <f t="shared" si="85"/>
        <v>0</v>
      </c>
      <c r="AJ93" s="111">
        <f t="shared" si="85"/>
        <v>0</v>
      </c>
      <c r="AK93" s="111">
        <f t="shared" si="85"/>
        <v>0</v>
      </c>
      <c r="AL93" s="111">
        <f t="shared" ref="AL93:AM93" si="86">SUM(AL87:AL87)</f>
        <v>0</v>
      </c>
      <c r="AM93" s="111">
        <f t="shared" si="86"/>
        <v>0</v>
      </c>
    </row>
    <row r="94" spans="1:39" ht="15.75" customHeight="1" thickTop="1" thickBot="1" x14ac:dyDescent="0.25">
      <c r="A94" s="5"/>
      <c r="B94" s="312" t="s">
        <v>47</v>
      </c>
      <c r="C94" s="313">
        <f t="shared" ref="C94:M94" si="87">C78+C85+C93</f>
        <v>0</v>
      </c>
      <c r="D94" s="313">
        <f t="shared" si="87"/>
        <v>0</v>
      </c>
      <c r="E94" s="313">
        <f t="shared" si="87"/>
        <v>0</v>
      </c>
      <c r="F94" s="313">
        <f t="shared" si="87"/>
        <v>0</v>
      </c>
      <c r="G94" s="313">
        <f t="shared" si="87"/>
        <v>0</v>
      </c>
      <c r="H94" s="313">
        <f t="shared" si="87"/>
        <v>0</v>
      </c>
      <c r="I94" s="313">
        <f t="shared" si="87"/>
        <v>0</v>
      </c>
      <c r="J94" s="108">
        <f t="shared" si="87"/>
        <v>0</v>
      </c>
      <c r="K94" s="108">
        <f t="shared" si="87"/>
        <v>0</v>
      </c>
      <c r="L94" s="108">
        <f t="shared" si="87"/>
        <v>0</v>
      </c>
      <c r="M94" s="109">
        <f t="shared" si="87"/>
        <v>0</v>
      </c>
      <c r="O94" s="12"/>
      <c r="P94" s="312" t="s">
        <v>47</v>
      </c>
      <c r="Q94" s="313">
        <f t="shared" ref="Q94:AA94" si="88">Q78+Q85+Q93</f>
        <v>0</v>
      </c>
      <c r="R94" s="313">
        <f t="shared" si="88"/>
        <v>0</v>
      </c>
      <c r="S94" s="313">
        <f t="shared" si="88"/>
        <v>0</v>
      </c>
      <c r="T94" s="313">
        <f t="shared" si="88"/>
        <v>0</v>
      </c>
      <c r="U94" s="313">
        <f t="shared" si="88"/>
        <v>0</v>
      </c>
      <c r="V94" s="313">
        <f t="shared" si="88"/>
        <v>0</v>
      </c>
      <c r="W94" s="313">
        <f t="shared" si="88"/>
        <v>0</v>
      </c>
      <c r="X94" s="108">
        <f t="shared" si="88"/>
        <v>0</v>
      </c>
      <c r="Y94" s="108">
        <f t="shared" si="88"/>
        <v>0</v>
      </c>
      <c r="Z94" s="108">
        <f t="shared" si="88"/>
        <v>0</v>
      </c>
      <c r="AA94" s="108">
        <f t="shared" si="88"/>
        <v>0</v>
      </c>
      <c r="AB94" s="12"/>
      <c r="AC94" s="12"/>
      <c r="AD94" s="312" t="s">
        <v>47</v>
      </c>
      <c r="AE94" s="313">
        <f t="shared" ref="AE94:AM94" si="89">AE78+AE85+AE93</f>
        <v>0</v>
      </c>
      <c r="AF94" s="313">
        <f t="shared" si="89"/>
        <v>0</v>
      </c>
      <c r="AG94" s="313">
        <f t="shared" si="89"/>
        <v>0</v>
      </c>
      <c r="AH94" s="313">
        <f t="shared" si="89"/>
        <v>0</v>
      </c>
      <c r="AI94" s="313">
        <f t="shared" si="89"/>
        <v>0</v>
      </c>
      <c r="AJ94" s="313">
        <f t="shared" si="89"/>
        <v>0</v>
      </c>
      <c r="AK94" s="313">
        <f t="shared" si="89"/>
        <v>0</v>
      </c>
      <c r="AL94" s="313">
        <f t="shared" si="89"/>
        <v>0</v>
      </c>
      <c r="AM94" s="313">
        <f t="shared" si="89"/>
        <v>0</v>
      </c>
    </row>
    <row r="95" spans="1:39" ht="15.75" customHeight="1" thickTop="1" x14ac:dyDescent="0.2">
      <c r="A95" s="5"/>
      <c r="L95" s="12"/>
      <c r="M95" s="12"/>
      <c r="N95" s="12"/>
      <c r="O95" s="12"/>
      <c r="P95" s="20"/>
      <c r="Q95" s="32"/>
      <c r="R95" s="31"/>
      <c r="S95" s="31"/>
      <c r="T95" s="31"/>
      <c r="U95" s="31"/>
      <c r="V95" s="31"/>
      <c r="W95" s="31"/>
      <c r="X95" s="31"/>
      <c r="Y95" s="22"/>
      <c r="Z95" s="12"/>
      <c r="AA95" s="12"/>
      <c r="AB95" s="12"/>
      <c r="AC95" s="12"/>
      <c r="AD95" s="12"/>
      <c r="AE95" s="20"/>
      <c r="AF95" s="32"/>
      <c r="AG95" s="19"/>
      <c r="AH95" s="31"/>
      <c r="AI95" s="22"/>
    </row>
    <row r="96" spans="1:39" ht="15.75" customHeight="1" thickBot="1" x14ac:dyDescent="0.25">
      <c r="A96" s="5"/>
      <c r="B96" s="310" t="s">
        <v>89</v>
      </c>
      <c r="C96" s="311"/>
      <c r="D96" s="311"/>
      <c r="E96" s="311"/>
      <c r="F96" s="311"/>
      <c r="G96" s="311"/>
      <c r="H96" s="311"/>
      <c r="I96" s="311"/>
      <c r="J96" s="113"/>
      <c r="K96" s="113"/>
      <c r="L96" s="113"/>
      <c r="M96" s="114"/>
      <c r="O96" s="12"/>
      <c r="P96" s="310" t="s">
        <v>89</v>
      </c>
      <c r="Q96" s="311"/>
      <c r="R96" s="311"/>
      <c r="S96" s="311"/>
      <c r="T96" s="311"/>
      <c r="U96" s="311"/>
      <c r="V96" s="311"/>
      <c r="W96" s="311"/>
      <c r="X96" s="113"/>
      <c r="Y96" s="113"/>
      <c r="Z96" s="113"/>
      <c r="AA96" s="113"/>
      <c r="AB96" s="12"/>
      <c r="AC96" s="12"/>
      <c r="AD96" s="12"/>
      <c r="AE96" s="18"/>
      <c r="AF96" s="18"/>
      <c r="AG96" s="18"/>
      <c r="AH96" s="18"/>
      <c r="AI96" s="18"/>
    </row>
    <row r="97" spans="1:39" ht="15.75" customHeight="1" thickTop="1" thickBot="1" x14ac:dyDescent="0.25">
      <c r="A97" s="5"/>
      <c r="B97" s="101" t="s">
        <v>108</v>
      </c>
      <c r="C97" s="120">
        <f>SUMIFS(Data!$M$8:$M$300,Data!$G$8:$G$300,$B97,Data!$D$8:$D$300,C$72,Data!$E$8:$E$300,C$73)</f>
        <v>0</v>
      </c>
      <c r="D97" s="120">
        <f>SUMIFS(Data!$M$8:$M$300,Data!$G$8:$G$300,$B97,Data!$D$8:$D$300,D$72,Data!$E$8:$E$300,D$73)</f>
        <v>0</v>
      </c>
      <c r="E97" s="120">
        <f>SUMIFS(Data!$M$8:$M$300,Data!$G$8:$G$300,$B97,Data!$D$8:$D$300,E$72,Data!$E$8:$E$300,E$73)</f>
        <v>0</v>
      </c>
      <c r="F97" s="120">
        <f>SUMIFS(Data!$M$8:$M$300,Data!$G$8:$G$300,$B97,Data!$D$8:$D$300,F$72,Data!$E$8:$E$300,F$73)</f>
        <v>0</v>
      </c>
      <c r="G97" s="120">
        <f>SUMIFS(Data!$M$8:$M$300,Data!$G$8:$G$300,$B97,Data!$D$8:$D$300,G$72,Data!$E$8:$E$300,G$73)</f>
        <v>0</v>
      </c>
      <c r="H97" s="120">
        <f>SUMIFS(Data!$M$8:$M$300,Data!$G$8:$G$300,$B97,Data!$D$8:$D$300,H$72,Data!$E$8:$E$300,H$73)</f>
        <v>0</v>
      </c>
      <c r="I97" s="120">
        <f>SUMIFS(Data!$M$8:$M$300,Data!$G$8:$G$300,$B97,Data!$D$8:$D$300,I$72,Data!$E$8:$E$300,I$73)</f>
        <v>0</v>
      </c>
      <c r="J97" s="120">
        <f>SUMIFS(Data!$M$8:$M$300,Data!$G$8:$G$300,$B97,Data!$D$8:$D$300,J$72,Data!$E$8:$E$300,J$73)</f>
        <v>0</v>
      </c>
      <c r="K97" s="120">
        <f>SUMIFS(Data!$M$8:$M$300,Data!$G$8:$G$300,$B97,Data!$D$8:$D$300,K$72,Data!$E$8:$E$300,K$73)</f>
        <v>0</v>
      </c>
      <c r="L97" s="120">
        <f>SUMIFS(Data!$M$8:$M$300,Data!$G$8:$G$300,$B97,Data!$D$8:$D$300,L$72,Data!$E$8:$E$300,L$73)</f>
        <v>0</v>
      </c>
      <c r="M97" s="120">
        <f>SUMIFS(Data!$M$8:$M$300,Data!$G$8:$G$300,$B97,Data!$D$8:$D$300,M$72,Data!$E$8:$E$300,M$73)</f>
        <v>0</v>
      </c>
      <c r="O97" s="12"/>
      <c r="P97" s="101" t="s">
        <v>108</v>
      </c>
      <c r="Q97" s="120">
        <f>SUMIFS(Data!$M$8:$M$300,Data!$G$8:$G$300,$P97,Data!$D$8:$D$300,Q$72,Data!$E$8:$E$300,Q$73)</f>
        <v>0</v>
      </c>
      <c r="R97" s="120">
        <f>SUMIFS(Data!$M$8:$M$300,Data!$G$8:$G$300,$P97,Data!$D$8:$D$300,R$72,Data!$E$8:$E$300,R$73)</f>
        <v>0</v>
      </c>
      <c r="S97" s="120">
        <f>SUMIFS(Data!$M$8:$M$300,Data!$G$8:$G$300,$P97,Data!$D$8:$D$300,S$72,Data!$E$8:$E$300,S$73)</f>
        <v>0</v>
      </c>
      <c r="T97" s="120">
        <f>SUMIFS(Data!$M$8:$M$300,Data!$G$8:$G$300,$P97,Data!$D$8:$D$300,T$72,Data!$E$8:$E$300,T$73)</f>
        <v>0</v>
      </c>
      <c r="U97" s="120">
        <f>SUMIFS(Data!$M$8:$M$300,Data!$G$8:$G$300,$P97,Data!$D$8:$D$300,U$72,Data!$E$8:$E$300,U$73)</f>
        <v>0</v>
      </c>
      <c r="V97" s="120">
        <f>SUMIFS(Data!$M$8:$M$300,Data!$G$8:$G$300,$P97,Data!$D$8:$D$300,V$72,Data!$E$8:$E$300,V$73)</f>
        <v>0</v>
      </c>
      <c r="W97" s="120">
        <f>SUMIFS(Data!$M$8:$M$300,Data!$G$8:$G$300,$P97,Data!$D$8:$D$300,W$72,Data!$E$8:$E$300,W$73)</f>
        <v>0</v>
      </c>
      <c r="X97" s="120">
        <f>SUMIFS(Data!$M$8:$M$300,Data!$G$8:$G$300,$P97,Data!$D$8:$D$300,X$72,Data!$E$8:$E$300,X$73)</f>
        <v>0</v>
      </c>
      <c r="Y97" s="120">
        <f>SUMIFS(Data!$M$8:$M$300,Data!$G$8:$G$300,$P97,Data!$D$8:$D$300,Y$72,Data!$E$8:$E$300,Y$73)</f>
        <v>0</v>
      </c>
      <c r="Z97" s="120">
        <f>SUMIFS(Data!$M$8:$M$300,Data!$G$8:$G$300,$P97,Data!$D$8:$D$300,Z$72,Data!$E$8:$E$300,Z$73)</f>
        <v>0</v>
      </c>
      <c r="AA97" s="120">
        <f>SUMIFS(Data!$M$8:$M$300,Data!$G$8:$G$300,$P97,Data!$D$8:$D$300,AA$72,Data!$E$8:$E$300,AA$73)</f>
        <v>0</v>
      </c>
      <c r="AB97" s="12"/>
      <c r="AC97" s="12"/>
      <c r="AD97" s="12"/>
      <c r="AE97" s="12"/>
      <c r="AF97" s="12"/>
      <c r="AG97" s="12"/>
      <c r="AH97" s="21"/>
      <c r="AI97" s="18"/>
    </row>
    <row r="98" spans="1:39" ht="15.75" customHeight="1" thickTop="1" thickBot="1" x14ac:dyDescent="0.25">
      <c r="A98" s="5"/>
      <c r="B98" s="102" t="s">
        <v>84</v>
      </c>
      <c r="C98" s="120">
        <f>SUMIFS(Data!$M$8:$M$300,Data!$G$8:$G$300,$B98,Data!$D$8:$D$300,C$72,Data!$E$8:$E$300,C$73)</f>
        <v>0</v>
      </c>
      <c r="D98" s="120">
        <f>SUMIFS(Data!$M$8:$M$300,Data!$G$8:$G$300,$B98,Data!$D$8:$D$300,D$72,Data!$E$8:$E$300,D$73)</f>
        <v>0</v>
      </c>
      <c r="E98" s="120">
        <f>SUMIFS(Data!$M$8:$M$300,Data!$G$8:$G$300,$B98,Data!$D$8:$D$300,E$72,Data!$E$8:$E$300,E$73)</f>
        <v>0</v>
      </c>
      <c r="F98" s="120">
        <f>SUMIFS(Data!$M$8:$M$300,Data!$G$8:$G$300,$B98,Data!$D$8:$D$300,F$72,Data!$E$8:$E$300,F$73)</f>
        <v>0</v>
      </c>
      <c r="G98" s="120">
        <f>SUMIFS(Data!$M$8:$M$300,Data!$G$8:$G$300,$B98,Data!$D$8:$D$300,G$72,Data!$E$8:$E$300,G$73)</f>
        <v>0</v>
      </c>
      <c r="H98" s="120">
        <f>SUMIFS(Data!$M$8:$M$300,Data!$G$8:$G$300,$B98,Data!$D$8:$D$300,H$72,Data!$E$8:$E$300,H$73)</f>
        <v>0</v>
      </c>
      <c r="I98" s="120">
        <f>SUMIFS(Data!$M$8:$M$300,Data!$G$8:$G$300,$B98,Data!$D$8:$D$300,I$72,Data!$E$8:$E$300,I$73)</f>
        <v>0</v>
      </c>
      <c r="J98" s="120">
        <f>SUMIFS(Data!$M$8:$M$300,Data!$G$8:$G$300,$B98,Data!$D$8:$D$300,J$72,Data!$E$8:$E$300,J$73)</f>
        <v>0</v>
      </c>
      <c r="K98" s="120">
        <f>SUMIFS(Data!$M$8:$M$300,Data!$G$8:$G$300,$B98,Data!$D$8:$D$300,K$72,Data!$E$8:$E$300,K$73)</f>
        <v>0</v>
      </c>
      <c r="L98" s="120">
        <f>SUMIFS(Data!$M$8:$M$300,Data!$G$8:$G$300,$B98,Data!$D$8:$D$300,L$72,Data!$E$8:$E$300,L$73)</f>
        <v>0</v>
      </c>
      <c r="M98" s="120">
        <f>SUMIFS(Data!$M$8:$M$300,Data!$G$8:$G$300,$B98,Data!$D$8:$D$300,M$72,Data!$E$8:$E$300,M$73)</f>
        <v>0</v>
      </c>
      <c r="O98" s="12"/>
      <c r="P98" s="102" t="s">
        <v>84</v>
      </c>
      <c r="Q98" s="120">
        <f>SUMIFS(Data!$M$8:$M$300,Data!$G$8:$G$300,$P98,Data!$D$8:$D$300,Q$72,Data!$E$8:$E$300,Q$73)</f>
        <v>0</v>
      </c>
      <c r="R98" s="120">
        <f>SUMIFS(Data!$M$8:$M$300,Data!$G$8:$G$300,$P98,Data!$D$8:$D$300,R$72,Data!$E$8:$E$300,R$73)</f>
        <v>0</v>
      </c>
      <c r="S98" s="120">
        <f>SUMIFS(Data!$M$8:$M$300,Data!$G$8:$G$300,$P98,Data!$D$8:$D$300,S$72,Data!$E$8:$E$300,S$73)</f>
        <v>0</v>
      </c>
      <c r="T98" s="120">
        <f>SUMIFS(Data!$M$8:$M$300,Data!$G$8:$G$300,$P98,Data!$D$8:$D$300,T$72,Data!$E$8:$E$300,T$73)</f>
        <v>0</v>
      </c>
      <c r="U98" s="120">
        <f>SUMIFS(Data!$M$8:$M$300,Data!$G$8:$G$300,$P98,Data!$D$8:$D$300,U$72,Data!$E$8:$E$300,U$73)</f>
        <v>0</v>
      </c>
      <c r="V98" s="120">
        <f>SUMIFS(Data!$M$8:$M$300,Data!$G$8:$G$300,$P98,Data!$D$8:$D$300,V$72,Data!$E$8:$E$300,V$73)</f>
        <v>0</v>
      </c>
      <c r="W98" s="120">
        <f>SUMIFS(Data!$M$8:$M$300,Data!$G$8:$G$300,$P98,Data!$D$8:$D$300,W$72,Data!$E$8:$E$300,W$73)</f>
        <v>0</v>
      </c>
      <c r="X98" s="120">
        <f>SUMIFS(Data!$M$8:$M$300,Data!$G$8:$G$300,$P98,Data!$D$8:$D$300,X$72,Data!$E$8:$E$300,X$73)</f>
        <v>0</v>
      </c>
      <c r="Y98" s="120">
        <f>SUMIFS(Data!$M$8:$M$300,Data!$G$8:$G$300,$P98,Data!$D$8:$D$300,Y$72,Data!$E$8:$E$300,Y$73)</f>
        <v>0</v>
      </c>
      <c r="Z98" s="120">
        <f>SUMIFS(Data!$M$8:$M$300,Data!$G$8:$G$300,$P98,Data!$D$8:$D$300,Z$72,Data!$E$8:$E$300,Z$73)</f>
        <v>0</v>
      </c>
      <c r="AA98" s="120">
        <f>SUMIFS(Data!$M$8:$M$300,Data!$G$8:$G$300,$P98,Data!$D$8:$D$300,AA$72,Data!$E$8:$E$300,AA$73)</f>
        <v>0</v>
      </c>
      <c r="AB98" s="12"/>
      <c r="AC98" s="12"/>
      <c r="AD98" s="12"/>
      <c r="AE98" s="12"/>
      <c r="AF98" s="12"/>
      <c r="AG98" s="12"/>
      <c r="AH98" s="21"/>
      <c r="AI98" s="18"/>
    </row>
    <row r="99" spans="1:39" ht="15.75" customHeight="1" thickTop="1" thickBot="1" x14ac:dyDescent="0.25">
      <c r="A99" s="12"/>
      <c r="B99" s="110" t="s">
        <v>91</v>
      </c>
      <c r="C99" s="111">
        <f t="shared" ref="C99:M99" si="90">SUM(C97:C98)</f>
        <v>0</v>
      </c>
      <c r="D99" s="111">
        <f t="shared" si="90"/>
        <v>0</v>
      </c>
      <c r="E99" s="111">
        <f t="shared" si="90"/>
        <v>0</v>
      </c>
      <c r="F99" s="111">
        <f t="shared" si="90"/>
        <v>0</v>
      </c>
      <c r="G99" s="111">
        <f t="shared" si="90"/>
        <v>0</v>
      </c>
      <c r="H99" s="111">
        <f t="shared" si="90"/>
        <v>0</v>
      </c>
      <c r="I99" s="111">
        <f t="shared" si="90"/>
        <v>0</v>
      </c>
      <c r="J99" s="111">
        <f t="shared" si="90"/>
        <v>0</v>
      </c>
      <c r="K99" s="111">
        <f t="shared" si="90"/>
        <v>0</v>
      </c>
      <c r="L99" s="111">
        <f t="shared" si="90"/>
        <v>0</v>
      </c>
      <c r="M99" s="112">
        <f t="shared" si="90"/>
        <v>0</v>
      </c>
      <c r="O99" s="12"/>
      <c r="P99" s="110" t="s">
        <v>91</v>
      </c>
      <c r="Q99" s="111">
        <f t="shared" ref="Q99:AA99" si="91">SUM(Q97:Q98)</f>
        <v>0</v>
      </c>
      <c r="R99" s="111">
        <f t="shared" si="91"/>
        <v>0</v>
      </c>
      <c r="S99" s="111">
        <f t="shared" si="91"/>
        <v>0</v>
      </c>
      <c r="T99" s="111">
        <f t="shared" si="91"/>
        <v>0</v>
      </c>
      <c r="U99" s="111">
        <f t="shared" si="91"/>
        <v>0</v>
      </c>
      <c r="V99" s="111">
        <f t="shared" si="91"/>
        <v>0</v>
      </c>
      <c r="W99" s="111">
        <f t="shared" si="91"/>
        <v>0</v>
      </c>
      <c r="X99" s="111">
        <f t="shared" si="91"/>
        <v>0</v>
      </c>
      <c r="Y99" s="111">
        <f t="shared" si="91"/>
        <v>0</v>
      </c>
      <c r="Z99" s="111">
        <f t="shared" si="91"/>
        <v>0</v>
      </c>
      <c r="AA99" s="111">
        <f t="shared" si="91"/>
        <v>0</v>
      </c>
      <c r="AB99" s="12"/>
      <c r="AC99" s="12"/>
      <c r="AD99" s="12"/>
      <c r="AE99" s="20"/>
      <c r="AF99" s="32"/>
      <c r="AG99" s="19"/>
      <c r="AH99" s="31"/>
      <c r="AI99" s="22"/>
    </row>
    <row r="100" spans="1:39" ht="15.75" customHeight="1" thickTop="1" thickBot="1" x14ac:dyDescent="0.25">
      <c r="A100" s="5"/>
      <c r="L100" s="12"/>
      <c r="M100" s="12"/>
      <c r="N100" s="12"/>
      <c r="O100" s="12"/>
      <c r="P100" s="25"/>
      <c r="Q100" s="12"/>
      <c r="R100" s="26"/>
      <c r="S100" s="26"/>
      <c r="T100" s="26"/>
      <c r="U100" s="26"/>
      <c r="V100" s="26"/>
      <c r="W100" s="26"/>
      <c r="X100" s="26"/>
      <c r="Y100" s="27"/>
      <c r="Z100" s="12"/>
      <c r="AA100" s="12"/>
      <c r="AB100" s="12"/>
      <c r="AC100" s="12"/>
      <c r="AD100" s="12"/>
      <c r="AE100" s="25"/>
      <c r="AF100" s="12"/>
      <c r="AG100" s="12"/>
      <c r="AH100" s="26"/>
      <c r="AI100" s="27"/>
    </row>
    <row r="101" spans="1:39" ht="15.75" customHeight="1" thickTop="1" thickBot="1" x14ac:dyDescent="0.25">
      <c r="A101" s="5"/>
      <c r="B101" s="372" t="s">
        <v>123</v>
      </c>
      <c r="C101" s="373"/>
      <c r="D101" s="373"/>
      <c r="E101" s="373"/>
      <c r="F101" s="373"/>
      <c r="G101" s="373"/>
      <c r="H101" s="373"/>
      <c r="I101" s="373"/>
      <c r="J101" s="373"/>
      <c r="K101" s="373"/>
      <c r="L101" s="373"/>
      <c r="M101" s="374"/>
      <c r="N101" s="12"/>
      <c r="O101" s="12"/>
      <c r="P101" s="370" t="s">
        <v>124</v>
      </c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1"/>
      <c r="AB101" s="12"/>
      <c r="AC101" s="12"/>
      <c r="AD101" s="372" t="s">
        <v>160</v>
      </c>
      <c r="AE101" s="373"/>
      <c r="AF101" s="373"/>
      <c r="AG101" s="373"/>
      <c r="AH101" s="373"/>
      <c r="AI101" s="373"/>
      <c r="AJ101" s="373"/>
      <c r="AK101" s="373"/>
      <c r="AL101" s="373"/>
      <c r="AM101" s="373"/>
    </row>
    <row r="102" spans="1:39" ht="15.75" customHeight="1" thickTop="1" thickBot="1" x14ac:dyDescent="0.25">
      <c r="A102" s="5"/>
      <c r="B102" s="126"/>
      <c r="C102" s="127">
        <v>2022</v>
      </c>
      <c r="D102" s="127">
        <f>C102+1</f>
        <v>2023</v>
      </c>
      <c r="E102" s="127">
        <f t="shared" ref="E102:M102" si="92">D102+1</f>
        <v>2024</v>
      </c>
      <c r="F102" s="127">
        <f t="shared" si="92"/>
        <v>2025</v>
      </c>
      <c r="G102" s="127">
        <f t="shared" si="92"/>
        <v>2026</v>
      </c>
      <c r="H102" s="127">
        <f t="shared" si="92"/>
        <v>2027</v>
      </c>
      <c r="I102" s="127">
        <f t="shared" si="92"/>
        <v>2028</v>
      </c>
      <c r="J102" s="127">
        <f t="shared" si="92"/>
        <v>2029</v>
      </c>
      <c r="K102" s="127">
        <f t="shared" si="92"/>
        <v>2030</v>
      </c>
      <c r="L102" s="127">
        <f t="shared" si="92"/>
        <v>2031</v>
      </c>
      <c r="M102" s="127">
        <f t="shared" si="92"/>
        <v>2032</v>
      </c>
      <c r="N102" s="12"/>
      <c r="O102" s="12"/>
      <c r="P102" s="126"/>
      <c r="Q102" s="127">
        <v>2022</v>
      </c>
      <c r="R102" s="127">
        <f>+Q102+1</f>
        <v>2023</v>
      </c>
      <c r="S102" s="127">
        <f t="shared" ref="S102:AA102" si="93">+R102+1</f>
        <v>2024</v>
      </c>
      <c r="T102" s="127">
        <f t="shared" si="93"/>
        <v>2025</v>
      </c>
      <c r="U102" s="127">
        <f t="shared" si="93"/>
        <v>2026</v>
      </c>
      <c r="V102" s="127">
        <f t="shared" si="93"/>
        <v>2027</v>
      </c>
      <c r="W102" s="127">
        <f t="shared" si="93"/>
        <v>2028</v>
      </c>
      <c r="X102" s="127">
        <f t="shared" si="93"/>
        <v>2029</v>
      </c>
      <c r="Y102" s="127">
        <f t="shared" si="93"/>
        <v>2030</v>
      </c>
      <c r="Z102" s="127">
        <f t="shared" si="93"/>
        <v>2031</v>
      </c>
      <c r="AA102" s="127">
        <f t="shared" si="93"/>
        <v>2032</v>
      </c>
      <c r="AB102" s="12"/>
      <c r="AC102" s="12"/>
      <c r="AD102" s="126"/>
      <c r="AE102" s="127">
        <v>2022</v>
      </c>
      <c r="AF102" s="127">
        <f>+AE102+1</f>
        <v>2023</v>
      </c>
      <c r="AG102" s="127">
        <f t="shared" ref="AG102" si="94">+AF102+1</f>
        <v>2024</v>
      </c>
      <c r="AH102" s="127">
        <f t="shared" ref="AH102" si="95">+AG102+1</f>
        <v>2025</v>
      </c>
      <c r="AI102" s="127">
        <f t="shared" ref="AI102" si="96">+AH102+1</f>
        <v>2026</v>
      </c>
      <c r="AJ102" s="127">
        <f t="shared" ref="AJ102" si="97">+AI102+1</f>
        <v>2027</v>
      </c>
      <c r="AK102" s="127">
        <f t="shared" ref="AK102" si="98">+AJ102+1</f>
        <v>2028</v>
      </c>
      <c r="AL102" s="127">
        <f t="shared" ref="AL102" si="99">+AK102+1</f>
        <v>2029</v>
      </c>
      <c r="AM102" s="127">
        <f t="shared" ref="AM102" si="100">+AL102+1</f>
        <v>2030</v>
      </c>
    </row>
    <row r="103" spans="1:39" ht="15.75" customHeight="1" thickTop="1" thickBot="1" x14ac:dyDescent="0.25">
      <c r="A103" s="5"/>
      <c r="B103" s="320"/>
      <c r="C103" s="309" t="s">
        <v>20</v>
      </c>
      <c r="D103" s="309" t="s">
        <v>20</v>
      </c>
      <c r="E103" s="309" t="s">
        <v>20</v>
      </c>
      <c r="F103" s="309" t="s">
        <v>20</v>
      </c>
      <c r="G103" s="309" t="s">
        <v>20</v>
      </c>
      <c r="H103" s="309" t="s">
        <v>20</v>
      </c>
      <c r="I103" s="309" t="s">
        <v>20</v>
      </c>
      <c r="J103" s="128" t="s">
        <v>20</v>
      </c>
      <c r="K103" s="128" t="s">
        <v>20</v>
      </c>
      <c r="L103" s="128" t="s">
        <v>20</v>
      </c>
      <c r="M103" s="128" t="s">
        <v>20</v>
      </c>
      <c r="N103" s="12"/>
      <c r="O103" s="12"/>
      <c r="P103" s="320"/>
      <c r="Q103" s="309" t="s">
        <v>20</v>
      </c>
      <c r="R103" s="309" t="s">
        <v>20</v>
      </c>
      <c r="S103" s="309" t="s">
        <v>20</v>
      </c>
      <c r="T103" s="309" t="s">
        <v>20</v>
      </c>
      <c r="U103" s="309" t="s">
        <v>20</v>
      </c>
      <c r="V103" s="309" t="s">
        <v>20</v>
      </c>
      <c r="W103" s="309" t="s">
        <v>20</v>
      </c>
      <c r="X103" s="128" t="s">
        <v>20</v>
      </c>
      <c r="Y103" s="128" t="s">
        <v>20</v>
      </c>
      <c r="Z103" s="128" t="s">
        <v>20</v>
      </c>
      <c r="AA103" s="128" t="s">
        <v>20</v>
      </c>
      <c r="AB103" s="12"/>
      <c r="AC103" s="12"/>
      <c r="AD103" s="320"/>
      <c r="AE103" s="309" t="s">
        <v>20</v>
      </c>
      <c r="AF103" s="309" t="s">
        <v>20</v>
      </c>
      <c r="AG103" s="309" t="s">
        <v>20</v>
      </c>
      <c r="AH103" s="309" t="s">
        <v>20</v>
      </c>
      <c r="AI103" s="309" t="s">
        <v>20</v>
      </c>
      <c r="AJ103" s="309" t="s">
        <v>20</v>
      </c>
      <c r="AK103" s="309" t="s">
        <v>20</v>
      </c>
      <c r="AL103" s="309" t="s">
        <v>20</v>
      </c>
      <c r="AM103" s="309" t="s">
        <v>20</v>
      </c>
    </row>
    <row r="104" spans="1:39" ht="15.75" customHeight="1" thickTop="1" thickBot="1" x14ac:dyDescent="0.25">
      <c r="A104" s="5"/>
      <c r="B104" s="135" t="s">
        <v>22</v>
      </c>
      <c r="C104" s="133" t="e">
        <f>C94/$C$94</f>
        <v>#DIV/0!</v>
      </c>
      <c r="D104" s="133" t="e">
        <f t="shared" ref="D104:I104" si="101">D94/$C$94</f>
        <v>#DIV/0!</v>
      </c>
      <c r="E104" s="133" t="e">
        <f t="shared" ref="E104:H104" si="102">E94/$C$94</f>
        <v>#DIV/0!</v>
      </c>
      <c r="F104" s="133" t="e">
        <f t="shared" si="102"/>
        <v>#DIV/0!</v>
      </c>
      <c r="G104" s="133" t="e">
        <f t="shared" si="102"/>
        <v>#DIV/0!</v>
      </c>
      <c r="H104" s="133" t="e">
        <f t="shared" si="102"/>
        <v>#DIV/0!</v>
      </c>
      <c r="I104" s="133" t="e">
        <f t="shared" si="101"/>
        <v>#DIV/0!</v>
      </c>
      <c r="J104" s="133" t="e">
        <f t="shared" ref="J104:M104" si="103">J94/$C$94</f>
        <v>#DIV/0!</v>
      </c>
      <c r="K104" s="133" t="e">
        <f t="shared" si="103"/>
        <v>#DIV/0!</v>
      </c>
      <c r="L104" s="133" t="e">
        <f t="shared" si="103"/>
        <v>#DIV/0!</v>
      </c>
      <c r="M104" s="133" t="e">
        <f t="shared" si="103"/>
        <v>#DIV/0!</v>
      </c>
      <c r="N104" s="12"/>
      <c r="O104" s="12"/>
      <c r="P104" s="132" t="s">
        <v>22</v>
      </c>
      <c r="Q104" s="133" t="e">
        <f>Q94/$Q$94</f>
        <v>#DIV/0!</v>
      </c>
      <c r="R104" s="133" t="e">
        <f>R94/$Q$94</f>
        <v>#DIV/0!</v>
      </c>
      <c r="S104" s="133" t="e">
        <f t="shared" ref="S104:V104" si="104">S94/$Q$94</f>
        <v>#DIV/0!</v>
      </c>
      <c r="T104" s="133" t="e">
        <f t="shared" si="104"/>
        <v>#DIV/0!</v>
      </c>
      <c r="U104" s="133" t="e">
        <f t="shared" si="104"/>
        <v>#DIV/0!</v>
      </c>
      <c r="V104" s="133" t="e">
        <f t="shared" si="104"/>
        <v>#DIV/0!</v>
      </c>
      <c r="W104" s="133" t="e">
        <f t="shared" ref="W104:AA104" si="105">W94/$Q$94</f>
        <v>#DIV/0!</v>
      </c>
      <c r="X104" s="133" t="e">
        <f t="shared" si="105"/>
        <v>#DIV/0!</v>
      </c>
      <c r="Y104" s="133" t="e">
        <f t="shared" si="105"/>
        <v>#DIV/0!</v>
      </c>
      <c r="Z104" s="133" t="e">
        <f t="shared" si="105"/>
        <v>#DIV/0!</v>
      </c>
      <c r="AA104" s="133" t="e">
        <f t="shared" si="105"/>
        <v>#DIV/0!</v>
      </c>
      <c r="AB104" s="12"/>
      <c r="AC104" s="12"/>
      <c r="AD104" s="135" t="s">
        <v>22</v>
      </c>
      <c r="AE104" s="131" t="e">
        <f>AE94/$AE$94</f>
        <v>#DIV/0!</v>
      </c>
      <c r="AF104" s="131" t="e">
        <f>AF94/$AE$94</f>
        <v>#DIV/0!</v>
      </c>
      <c r="AG104" s="131" t="e">
        <f t="shared" ref="AG104:AM104" si="106">AG94/$AE$94</f>
        <v>#DIV/0!</v>
      </c>
      <c r="AH104" s="131" t="e">
        <f t="shared" si="106"/>
        <v>#DIV/0!</v>
      </c>
      <c r="AI104" s="131" t="e">
        <f t="shared" si="106"/>
        <v>#DIV/0!</v>
      </c>
      <c r="AJ104" s="131" t="e">
        <f t="shared" si="106"/>
        <v>#DIV/0!</v>
      </c>
      <c r="AK104" s="131" t="e">
        <f t="shared" si="106"/>
        <v>#DIV/0!</v>
      </c>
      <c r="AL104" s="131" t="e">
        <f t="shared" si="106"/>
        <v>#DIV/0!</v>
      </c>
      <c r="AM104" s="131" t="e">
        <f t="shared" si="106"/>
        <v>#DIV/0!</v>
      </c>
    </row>
    <row r="105" spans="1:39" ht="15" customHeight="1" x14ac:dyDescent="0.2">
      <c r="A105" s="12"/>
      <c r="B105" s="193" t="s">
        <v>21</v>
      </c>
      <c r="C105" s="198">
        <v>0.82499999999999996</v>
      </c>
      <c r="D105" s="221">
        <v>0.76666666666666661</v>
      </c>
      <c r="E105" s="221">
        <v>0.70833333333333326</v>
      </c>
      <c r="F105" s="221">
        <v>0.64999999999999991</v>
      </c>
      <c r="G105" s="198"/>
      <c r="H105" s="198"/>
      <c r="I105" s="198"/>
      <c r="J105" s="194"/>
      <c r="K105" s="194"/>
      <c r="L105" s="195"/>
      <c r="M105" s="196"/>
      <c r="N105" s="12"/>
      <c r="O105" s="12"/>
      <c r="P105" s="197" t="s">
        <v>21</v>
      </c>
      <c r="Q105" s="198">
        <v>0.82499999999999996</v>
      </c>
      <c r="R105" s="198">
        <v>0.76666666666666661</v>
      </c>
      <c r="S105" s="198">
        <v>0.70833333333333326</v>
      </c>
      <c r="T105" s="198">
        <v>0.64999999999999991</v>
      </c>
      <c r="U105" s="194"/>
      <c r="V105" s="194"/>
      <c r="W105" s="194"/>
      <c r="X105" s="194"/>
      <c r="Y105" s="194"/>
      <c r="Z105" s="194"/>
      <c r="AA105" s="194"/>
      <c r="AB105" s="12"/>
      <c r="AC105" s="12"/>
      <c r="AD105" s="193" t="s">
        <v>21</v>
      </c>
      <c r="AE105" s="222">
        <v>0.82499999999999996</v>
      </c>
      <c r="AF105" s="221">
        <v>0.76666666666666661</v>
      </c>
      <c r="AG105" s="221">
        <v>0.70833333333333326</v>
      </c>
      <c r="AH105" s="221">
        <v>0.64999999999999991</v>
      </c>
      <c r="AI105" s="221"/>
      <c r="AJ105" s="221"/>
      <c r="AK105" s="221"/>
      <c r="AL105" s="221"/>
      <c r="AM105" s="221"/>
    </row>
    <row r="106" spans="1:39" ht="15.75" customHeight="1" x14ac:dyDescent="0.2">
      <c r="A106" s="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1:39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</row>
    <row r="108" spans="1:39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</row>
    <row r="109" spans="1:39" ht="15.75" customHeight="1" x14ac:dyDescent="0.2">
      <c r="A109" s="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</row>
    <row r="110" spans="1:39" ht="15.75" customHeight="1" x14ac:dyDescent="0.2">
      <c r="A110" s="5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</row>
    <row r="111" spans="1:39" ht="15.75" customHeight="1" x14ac:dyDescent="0.2">
      <c r="A111" s="5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</row>
    <row r="112" spans="1:39" ht="15.75" customHeight="1" x14ac:dyDescent="0.2">
      <c r="A112" s="5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1:30" ht="15.75" customHeight="1" x14ac:dyDescent="0.2">
      <c r="A113" s="5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</row>
    <row r="114" spans="1:30" ht="15.75" customHeight="1" x14ac:dyDescent="0.2">
      <c r="A114" s="5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</row>
    <row r="115" spans="1:30" ht="15.75" customHeight="1" x14ac:dyDescent="0.2">
      <c r="A115" s="5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</row>
    <row r="116" spans="1:30" ht="15.75" customHeight="1" x14ac:dyDescent="0.2">
      <c r="A116" s="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</row>
    <row r="117" spans="1:30" ht="15.75" customHeight="1" x14ac:dyDescent="0.2">
      <c r="A117" s="5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15.75" customHeight="1" x14ac:dyDescent="0.2">
      <c r="A118" s="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1:30" ht="15.75" customHeight="1" x14ac:dyDescent="0.2">
      <c r="A119" s="5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</row>
    <row r="120" spans="1:30" ht="15.75" customHeight="1" x14ac:dyDescent="0.2">
      <c r="A120" s="5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</row>
    <row r="121" spans="1:30" ht="15.75" customHeight="1" x14ac:dyDescent="0.2">
      <c r="A121" s="5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</row>
    <row r="122" spans="1:30" ht="15.75" customHeight="1" x14ac:dyDescent="0.2">
      <c r="A122" s="5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</row>
    <row r="123" spans="1:30" ht="15.75" customHeight="1" x14ac:dyDescent="0.2">
      <c r="A123" s="5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</row>
    <row r="124" spans="1:30" ht="15.75" customHeight="1" x14ac:dyDescent="0.2">
      <c r="A124" s="5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1:30" ht="15.75" customHeight="1" x14ac:dyDescent="0.2">
      <c r="A125" s="5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</row>
    <row r="126" spans="1:30" ht="15.75" customHeight="1" x14ac:dyDescent="0.2">
      <c r="A126" s="5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</row>
    <row r="127" spans="1:30" ht="15.75" customHeight="1" x14ac:dyDescent="0.2">
      <c r="A127" s="5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</row>
    <row r="128" spans="1:30" ht="15.75" customHeight="1" x14ac:dyDescent="0.2">
      <c r="A128" s="5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</row>
    <row r="129" spans="1:30" ht="15.75" customHeight="1" x14ac:dyDescent="0.2">
      <c r="A129" s="5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</row>
    <row r="130" spans="1:30" ht="15.75" customHeight="1" x14ac:dyDescent="0.2">
      <c r="A130" s="5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1:30" ht="15.75" customHeight="1" x14ac:dyDescent="0.2">
      <c r="A131" s="5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</row>
    <row r="132" spans="1:30" ht="15.75" customHeight="1" x14ac:dyDescent="0.2">
      <c r="A132" s="5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</row>
    <row r="133" spans="1:30" ht="15.75" customHeight="1" x14ac:dyDescent="0.2">
      <c r="A133" s="5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</row>
    <row r="134" spans="1:30" ht="15.75" customHeight="1" x14ac:dyDescent="0.2">
      <c r="A134" s="5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</row>
    <row r="135" spans="1:30" ht="15.75" customHeight="1" x14ac:dyDescent="0.2">
      <c r="A135" s="5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</row>
    <row r="136" spans="1:30" ht="15.75" customHeight="1" x14ac:dyDescent="0.2">
      <c r="A136" s="5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1:30" ht="15.75" customHeight="1" x14ac:dyDescent="0.2">
      <c r="A137" s="5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</row>
    <row r="138" spans="1:30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</row>
    <row r="139" spans="1:30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</row>
    <row r="140" spans="1:30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</row>
    <row r="141" spans="1:30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</row>
    <row r="142" spans="1:30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1:30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</row>
    <row r="144" spans="1:30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15.75" customHeight="1" x14ac:dyDescent="0.2">
      <c r="A147" s="5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15.75" customHeight="1" x14ac:dyDescent="0.2">
      <c r="A148" s="5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15.75" customHeight="1" x14ac:dyDescent="0.2">
      <c r="A149" s="5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30" ht="15.75" customHeight="1" x14ac:dyDescent="0.2">
      <c r="A150" s="5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30" ht="15.75" customHeight="1" x14ac:dyDescent="0.2">
      <c r="A151" s="5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15.75" customHeight="1" x14ac:dyDescent="0.2">
      <c r="A152" s="5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15.75" customHeight="1" x14ac:dyDescent="0.2">
      <c r="A153" s="5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15.75" customHeight="1" x14ac:dyDescent="0.2">
      <c r="A154" s="5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15.75" customHeight="1" x14ac:dyDescent="0.2">
      <c r="A155" s="5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15.75" customHeight="1" x14ac:dyDescent="0.2">
      <c r="A156" s="5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15.75" customHeight="1" x14ac:dyDescent="0.2">
      <c r="A157" s="5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15.75" customHeight="1" x14ac:dyDescent="0.2">
      <c r="A158" s="5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15.75" customHeight="1" x14ac:dyDescent="0.2">
      <c r="A159" s="5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15.75" customHeight="1" x14ac:dyDescent="0.2">
      <c r="A160" s="5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5.75" customHeight="1" x14ac:dyDescent="0.2">
      <c r="A161" s="5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5.75" customHeight="1" x14ac:dyDescent="0.2">
      <c r="A162" s="5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t="15.75" customHeight="1" x14ac:dyDescent="0.2">
      <c r="A163" s="5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t="15.75" customHeight="1" x14ac:dyDescent="0.2">
      <c r="A164" s="5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t="15.75" customHeight="1" x14ac:dyDescent="0.2">
      <c r="A165" s="5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t="15.75" customHeight="1" x14ac:dyDescent="0.2">
      <c r="A166" s="5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t="15.75" customHeight="1" x14ac:dyDescent="0.2">
      <c r="A167" s="5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t="15.75" customHeight="1" x14ac:dyDescent="0.2">
      <c r="A168" s="5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t="15.75" customHeight="1" x14ac:dyDescent="0.2">
      <c r="A169" s="5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15.75" customHeight="1" x14ac:dyDescent="0.2">
      <c r="A170" s="5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5.75" customHeight="1" x14ac:dyDescent="0.2">
      <c r="A171" s="5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t="15.75" customHeight="1" x14ac:dyDescent="0.2">
      <c r="A172" s="5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t="15.75" customHeight="1" x14ac:dyDescent="0.2">
      <c r="A173" s="5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t="15.75" customHeight="1" x14ac:dyDescent="0.2">
      <c r="A174" s="5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t="15.75" customHeight="1" x14ac:dyDescent="0.2">
      <c r="A175" s="5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t="15.75" customHeight="1" x14ac:dyDescent="0.2">
      <c r="A176" s="5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:30" ht="15.75" customHeight="1" x14ac:dyDescent="0.2">
      <c r="A177" s="5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:30" ht="15.75" customHeight="1" x14ac:dyDescent="0.2">
      <c r="A178" s="5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:30" ht="15.75" customHeight="1" x14ac:dyDescent="0.2">
      <c r="A179" s="5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:30" ht="15.75" customHeight="1" x14ac:dyDescent="0.2">
      <c r="A180" s="5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:30" ht="15.75" customHeight="1" x14ac:dyDescent="0.2">
      <c r="A181" s="5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:30" ht="15.75" customHeight="1" x14ac:dyDescent="0.2">
      <c r="A182" s="5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:30" ht="15.75" customHeight="1" x14ac:dyDescent="0.2">
      <c r="A183" s="5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:30" ht="15.75" customHeight="1" x14ac:dyDescent="0.2">
      <c r="A184" s="5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:30" ht="15.75" customHeight="1" x14ac:dyDescent="0.2">
      <c r="A185" s="5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:30" ht="15.75" customHeight="1" x14ac:dyDescent="0.2">
      <c r="A186" s="5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:30" ht="15.75" customHeight="1" x14ac:dyDescent="0.2">
      <c r="A187" s="5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:30" ht="15.75" customHeight="1" x14ac:dyDescent="0.2">
      <c r="A188" s="5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:30" ht="15.75" customHeight="1" x14ac:dyDescent="0.2">
      <c r="A189" s="5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:30" ht="15.75" customHeight="1" x14ac:dyDescent="0.2">
      <c r="A190" s="5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:30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:30" ht="15.75" customHeight="1" x14ac:dyDescent="0.2">
      <c r="A192" s="5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:30" ht="15.75" customHeight="1" x14ac:dyDescent="0.2">
      <c r="A193" s="5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:30" ht="15.75" customHeight="1" x14ac:dyDescent="0.2">
      <c r="A194" s="5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:30" ht="15.75" customHeight="1" x14ac:dyDescent="0.2">
      <c r="A195" s="5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:30" ht="15.75" customHeight="1" x14ac:dyDescent="0.2">
      <c r="A196" s="5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:30" ht="15.75" customHeight="1" x14ac:dyDescent="0.2">
      <c r="A197" s="5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:30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:30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:30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:30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:30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:30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:30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:30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</row>
    <row r="206" spans="1:30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</row>
    <row r="207" spans="1:30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</row>
    <row r="208" spans="1:30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</row>
    <row r="209" spans="1:30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</row>
    <row r="210" spans="1:30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</row>
    <row r="211" spans="1:30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</row>
    <row r="212" spans="1:30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</row>
    <row r="213" spans="1:30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</row>
    <row r="214" spans="1:30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</row>
    <row r="215" spans="1:30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</row>
    <row r="216" spans="1:30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</row>
    <row r="217" spans="1:30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</row>
    <row r="218" spans="1:30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</row>
    <row r="219" spans="1:30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</row>
    <row r="220" spans="1:30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</row>
    <row r="221" spans="1:30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</row>
    <row r="222" spans="1:30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</row>
    <row r="223" spans="1:30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</row>
    <row r="224" spans="1:30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</row>
    <row r="225" spans="1:30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</row>
    <row r="226" spans="1:30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</row>
    <row r="227" spans="1:30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</row>
    <row r="228" spans="1:30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</row>
    <row r="229" spans="1:30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</row>
    <row r="230" spans="1:30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</row>
    <row r="231" spans="1:30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</row>
    <row r="232" spans="1:30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</row>
    <row r="233" spans="1:30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</row>
    <row r="234" spans="1:30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</row>
    <row r="235" spans="1:30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</row>
    <row r="236" spans="1:30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</row>
    <row r="237" spans="1:30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</row>
    <row r="238" spans="1:30" ht="15.75" customHeight="1" x14ac:dyDescent="0.2">
      <c r="A238" s="5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</row>
    <row r="239" spans="1:30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</row>
    <row r="240" spans="1:30" ht="15.75" customHeight="1" x14ac:dyDescent="0.2">
      <c r="A240" s="5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</row>
    <row r="241" spans="1:30" ht="15.75" customHeight="1" x14ac:dyDescent="0.2">
      <c r="A241" s="5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</row>
    <row r="242" spans="1:30" ht="15.75" customHeight="1" x14ac:dyDescent="0.2">
      <c r="A242" s="5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</row>
    <row r="243" spans="1:30" ht="15.75" customHeight="1" x14ac:dyDescent="0.2">
      <c r="A243" s="5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</row>
    <row r="244" spans="1:30" ht="15.75" customHeight="1" x14ac:dyDescent="0.2">
      <c r="A244" s="5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</row>
    <row r="245" spans="1:30" ht="15.75" customHeight="1" x14ac:dyDescent="0.2">
      <c r="A245" s="5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</row>
    <row r="246" spans="1:30" ht="15.75" customHeight="1" x14ac:dyDescent="0.2">
      <c r="A246" s="5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</row>
    <row r="247" spans="1:30" ht="15.75" customHeight="1" x14ac:dyDescent="0.2">
      <c r="A247" s="5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</row>
    <row r="248" spans="1:30" ht="15.75" customHeight="1" x14ac:dyDescent="0.2">
      <c r="A248" s="5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</row>
    <row r="249" spans="1:30" ht="15.75" customHeight="1" x14ac:dyDescent="0.2">
      <c r="A249" s="5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</row>
    <row r="250" spans="1:30" ht="15.75" customHeight="1" x14ac:dyDescent="0.2">
      <c r="A250" s="5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</row>
    <row r="251" spans="1:30" ht="15.75" customHeight="1" x14ac:dyDescent="0.2">
      <c r="A251" s="5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</row>
    <row r="252" spans="1:30" ht="15.75" customHeight="1" x14ac:dyDescent="0.2">
      <c r="A252" s="5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</row>
    <row r="253" spans="1:30" ht="15.75" customHeight="1" x14ac:dyDescent="0.2">
      <c r="A253" s="5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</row>
    <row r="254" spans="1:30" ht="15.75" customHeight="1" x14ac:dyDescent="0.2">
      <c r="A254" s="5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</row>
    <row r="255" spans="1:30" ht="15.75" customHeight="1" x14ac:dyDescent="0.2">
      <c r="A255" s="5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</row>
    <row r="256" spans="1:30" ht="15.75" customHeight="1" x14ac:dyDescent="0.2">
      <c r="A256" s="5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</row>
    <row r="257" spans="1:39" ht="15.75" customHeight="1" x14ac:dyDescent="0.2">
      <c r="A257" s="5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</row>
    <row r="258" spans="1:39" ht="15.75" customHeight="1" x14ac:dyDescent="0.2">
      <c r="A258" s="5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</row>
    <row r="259" spans="1:39" ht="15.75" customHeight="1" x14ac:dyDescent="0.2">
      <c r="A259" s="5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</row>
    <row r="260" spans="1:39" ht="15.75" customHeight="1" x14ac:dyDescent="0.2">
      <c r="A260" s="5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</row>
    <row r="261" spans="1:39" ht="15.75" customHeight="1" x14ac:dyDescent="0.2">
      <c r="A261" s="5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</row>
    <row r="262" spans="1:39" ht="15.75" customHeight="1" x14ac:dyDescent="0.2">
      <c r="A262" s="5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</row>
    <row r="263" spans="1:39" ht="15.75" customHeight="1" x14ac:dyDescent="0.2">
      <c r="A263" s="5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</row>
    <row r="264" spans="1:39" ht="15.75" customHeight="1" x14ac:dyDescent="0.2">
      <c r="A264" s="5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</row>
    <row r="265" spans="1:39" ht="15.75" customHeight="1" x14ac:dyDescent="0.2">
      <c r="A265" s="5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</row>
    <row r="266" spans="1:39" ht="140.5" customHeight="1" x14ac:dyDescent="0.2">
      <c r="A266" s="5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</row>
    <row r="268" spans="1:39" ht="15.75" customHeight="1" x14ac:dyDescent="0.2">
      <c r="A268" s="5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</row>
    <row r="269" spans="1:39" ht="15.75" customHeight="1" x14ac:dyDescent="0.2">
      <c r="A269" s="5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</row>
    <row r="270" spans="1:39" ht="15.75" customHeight="1" x14ac:dyDescent="0.2">
      <c r="A270" s="5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5"/>
      <c r="AF270" s="5"/>
      <c r="AG270" s="5"/>
      <c r="AH270" s="5"/>
      <c r="AI270" s="5"/>
      <c r="AJ270" s="5"/>
      <c r="AK270" s="5"/>
      <c r="AL270" s="5"/>
      <c r="AM270" s="5"/>
    </row>
    <row r="271" spans="1:39" ht="15.75" customHeight="1" x14ac:dyDescent="0.2">
      <c r="A271" s="5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5"/>
      <c r="AF271" s="5"/>
      <c r="AG271" s="5"/>
      <c r="AH271" s="5"/>
      <c r="AI271" s="5"/>
      <c r="AJ271" s="5"/>
      <c r="AK271" s="5"/>
      <c r="AL271" s="5"/>
      <c r="AM271" s="5"/>
    </row>
    <row r="272" spans="1:39" ht="15.75" customHeight="1" x14ac:dyDescent="0.2">
      <c r="A272" s="5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5"/>
      <c r="AF272" s="5"/>
      <c r="AG272" s="5"/>
      <c r="AH272" s="5"/>
      <c r="AI272" s="5"/>
      <c r="AJ272" s="5"/>
      <c r="AK272" s="5"/>
      <c r="AL272" s="5"/>
      <c r="AM272" s="5"/>
    </row>
    <row r="273" spans="1:39" ht="15.75" customHeight="1" x14ac:dyDescent="0.2">
      <c r="A273" s="5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5"/>
      <c r="AF273" s="5"/>
      <c r="AG273" s="5"/>
      <c r="AH273" s="5"/>
      <c r="AI273" s="5"/>
      <c r="AJ273" s="5"/>
      <c r="AK273" s="5"/>
      <c r="AL273" s="5"/>
      <c r="AM273" s="5"/>
    </row>
    <row r="274" spans="1:39" ht="15.75" customHeight="1" x14ac:dyDescent="0.2">
      <c r="A274" s="5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5"/>
      <c r="AF274" s="5"/>
      <c r="AG274" s="5"/>
      <c r="AH274" s="5"/>
      <c r="AI274" s="5"/>
      <c r="AJ274" s="5"/>
      <c r="AK274" s="5"/>
      <c r="AL274" s="5"/>
      <c r="AM274" s="5"/>
    </row>
    <row r="275" spans="1:39" ht="15.75" customHeight="1" x14ac:dyDescent="0.2">
      <c r="A275" s="5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5"/>
      <c r="AF275" s="5"/>
      <c r="AG275" s="5"/>
      <c r="AH275" s="5"/>
      <c r="AI275" s="5"/>
      <c r="AJ275" s="5"/>
      <c r="AK275" s="5"/>
      <c r="AL275" s="5"/>
      <c r="AM275" s="5"/>
    </row>
    <row r="276" spans="1:39" ht="15.75" customHeight="1" x14ac:dyDescent="0.2">
      <c r="A276" s="5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5"/>
      <c r="AF276" s="5"/>
      <c r="AG276" s="5"/>
      <c r="AH276" s="5"/>
      <c r="AI276" s="5"/>
      <c r="AJ276" s="5"/>
      <c r="AK276" s="5"/>
      <c r="AL276" s="5"/>
      <c r="AM276" s="5"/>
    </row>
    <row r="277" spans="1:39" ht="15.75" customHeight="1" x14ac:dyDescent="0.2">
      <c r="A277" s="5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5"/>
      <c r="AF277" s="5"/>
      <c r="AG277" s="5"/>
      <c r="AH277" s="5"/>
      <c r="AI277" s="5"/>
      <c r="AJ277" s="5"/>
      <c r="AK277" s="5"/>
      <c r="AL277" s="5"/>
      <c r="AM277" s="5"/>
    </row>
    <row r="278" spans="1:39" ht="15.75" customHeight="1" x14ac:dyDescent="0.2">
      <c r="A278" s="5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5"/>
      <c r="AF278" s="5"/>
      <c r="AG278" s="5"/>
      <c r="AH278" s="5"/>
      <c r="AI278" s="5"/>
      <c r="AJ278" s="5"/>
      <c r="AK278" s="5"/>
      <c r="AL278" s="5"/>
      <c r="AM278" s="5"/>
    </row>
    <row r="279" spans="1:39" ht="15.75" customHeight="1" x14ac:dyDescent="0.2">
      <c r="A279" s="5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5"/>
      <c r="AF279" s="5"/>
      <c r="AG279" s="5"/>
      <c r="AH279" s="5"/>
      <c r="AI279" s="5"/>
      <c r="AJ279" s="5"/>
      <c r="AK279" s="5"/>
      <c r="AL279" s="5"/>
      <c r="AM279" s="5"/>
    </row>
    <row r="280" spans="1:39" ht="15.75" customHeight="1" x14ac:dyDescent="0.2">
      <c r="A280" s="5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5"/>
      <c r="AF280" s="5"/>
      <c r="AG280" s="5"/>
      <c r="AH280" s="5"/>
      <c r="AI280" s="5"/>
      <c r="AJ280" s="5"/>
      <c r="AK280" s="5"/>
      <c r="AL280" s="5"/>
      <c r="AM280" s="5"/>
    </row>
    <row r="281" spans="1:39" ht="15.75" customHeight="1" x14ac:dyDescent="0.2">
      <c r="A281" s="5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5"/>
      <c r="AF281" s="5"/>
      <c r="AG281" s="5"/>
      <c r="AH281" s="5"/>
      <c r="AI281" s="5"/>
      <c r="AJ281" s="5"/>
      <c r="AK281" s="5"/>
      <c r="AL281" s="5"/>
      <c r="AM281" s="5"/>
    </row>
    <row r="282" spans="1:39" ht="15.75" customHeight="1" x14ac:dyDescent="0.2">
      <c r="A282" s="5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5"/>
      <c r="AF282" s="5"/>
      <c r="AG282" s="5"/>
      <c r="AH282" s="5"/>
      <c r="AI282" s="5"/>
      <c r="AJ282" s="5"/>
      <c r="AK282" s="5"/>
      <c r="AL282" s="5"/>
      <c r="AM282" s="5"/>
    </row>
    <row r="283" spans="1:39" ht="15.75" customHeight="1" x14ac:dyDescent="0.2">
      <c r="A283" s="5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5"/>
      <c r="AF283" s="5"/>
      <c r="AG283" s="5"/>
      <c r="AH283" s="5"/>
      <c r="AI283" s="5"/>
      <c r="AJ283" s="5"/>
      <c r="AK283" s="5"/>
      <c r="AL283" s="5"/>
      <c r="AM283" s="5"/>
    </row>
    <row r="284" spans="1:39" ht="15.75" customHeight="1" x14ac:dyDescent="0.2">
      <c r="A284" s="5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5"/>
      <c r="AF284" s="5"/>
      <c r="AG284" s="5"/>
      <c r="AH284" s="5"/>
      <c r="AI284" s="5"/>
      <c r="AJ284" s="5"/>
      <c r="AK284" s="5"/>
      <c r="AL284" s="5"/>
      <c r="AM284" s="5"/>
    </row>
    <row r="285" spans="1:39" ht="15.75" customHeight="1" x14ac:dyDescent="0.2">
      <c r="A285" s="5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5"/>
      <c r="AF285" s="5"/>
      <c r="AG285" s="5"/>
      <c r="AH285" s="5"/>
      <c r="AI285" s="5"/>
      <c r="AJ285" s="5"/>
      <c r="AK285" s="5"/>
      <c r="AL285" s="5"/>
      <c r="AM285" s="5"/>
    </row>
    <row r="286" spans="1:39" ht="15.75" customHeight="1" x14ac:dyDescent="0.2">
      <c r="A286" s="5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5"/>
      <c r="AF286" s="5"/>
      <c r="AG286" s="5"/>
      <c r="AH286" s="5"/>
      <c r="AI286" s="5"/>
      <c r="AJ286" s="5"/>
      <c r="AK286" s="5"/>
      <c r="AL286" s="5"/>
      <c r="AM286" s="5"/>
    </row>
    <row r="287" spans="1:39" ht="15.75" customHeight="1" x14ac:dyDescent="0.2">
      <c r="A287" s="5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5"/>
      <c r="AF287" s="5"/>
      <c r="AG287" s="5"/>
      <c r="AH287" s="5"/>
      <c r="AI287" s="5"/>
      <c r="AJ287" s="5"/>
      <c r="AK287" s="5"/>
      <c r="AL287" s="5"/>
      <c r="AM287" s="5"/>
    </row>
    <row r="288" spans="1:39" ht="15.75" customHeight="1" x14ac:dyDescent="0.2">
      <c r="A288" s="5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5"/>
      <c r="AF288" s="5"/>
      <c r="AG288" s="5"/>
      <c r="AH288" s="5"/>
      <c r="AI288" s="5"/>
      <c r="AJ288" s="5"/>
      <c r="AK288" s="5"/>
      <c r="AL288" s="5"/>
      <c r="AM288" s="5"/>
    </row>
    <row r="289" spans="1:39" ht="15.75" customHeight="1" x14ac:dyDescent="0.2">
      <c r="A289" s="5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5"/>
      <c r="AF289" s="5"/>
      <c r="AG289" s="5"/>
      <c r="AH289" s="5"/>
      <c r="AI289" s="5"/>
      <c r="AJ289" s="5"/>
      <c r="AK289" s="5"/>
      <c r="AL289" s="5"/>
      <c r="AM289" s="5"/>
    </row>
    <row r="290" spans="1:39" ht="15.75" customHeight="1" x14ac:dyDescent="0.2">
      <c r="A290" s="5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5"/>
      <c r="AF290" s="5"/>
      <c r="AG290" s="5"/>
      <c r="AH290" s="5"/>
      <c r="AI290" s="5"/>
      <c r="AJ290" s="5"/>
      <c r="AK290" s="5"/>
      <c r="AL290" s="5"/>
      <c r="AM290" s="5"/>
    </row>
    <row r="291" spans="1:39" ht="15.75" customHeight="1" x14ac:dyDescent="0.2">
      <c r="A291" s="5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5"/>
      <c r="AF291" s="5"/>
      <c r="AG291" s="5"/>
      <c r="AH291" s="5"/>
      <c r="AI291" s="5"/>
      <c r="AJ291" s="5"/>
      <c r="AK291" s="5"/>
      <c r="AL291" s="5"/>
      <c r="AM291" s="5"/>
    </row>
    <row r="292" spans="1:39" ht="15.75" customHeight="1" x14ac:dyDescent="0.2">
      <c r="A292" s="5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5"/>
      <c r="AF292" s="5"/>
      <c r="AG292" s="5"/>
      <c r="AH292" s="5"/>
      <c r="AI292" s="5"/>
      <c r="AJ292" s="5"/>
      <c r="AK292" s="5"/>
      <c r="AL292" s="5"/>
      <c r="AM292" s="5"/>
    </row>
    <row r="293" spans="1:39" ht="15.75" customHeight="1" x14ac:dyDescent="0.2">
      <c r="A293" s="5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5"/>
      <c r="AF293" s="5"/>
      <c r="AG293" s="5"/>
      <c r="AH293" s="5"/>
      <c r="AI293" s="5"/>
      <c r="AJ293" s="5"/>
      <c r="AK293" s="5"/>
      <c r="AL293" s="5"/>
      <c r="AM293" s="5"/>
    </row>
    <row r="294" spans="1:39" ht="15.75" customHeight="1" x14ac:dyDescent="0.2">
      <c r="A294" s="5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5"/>
      <c r="AF294" s="5"/>
      <c r="AG294" s="5"/>
      <c r="AH294" s="5"/>
      <c r="AI294" s="5"/>
      <c r="AJ294" s="5"/>
      <c r="AK294" s="5"/>
      <c r="AL294" s="5"/>
      <c r="AM294" s="5"/>
    </row>
    <row r="295" spans="1:39" ht="15.75" customHeight="1" x14ac:dyDescent="0.2">
      <c r="A295" s="5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5"/>
      <c r="AF295" s="5"/>
      <c r="AG295" s="5"/>
      <c r="AH295" s="5"/>
      <c r="AI295" s="5"/>
      <c r="AJ295" s="5"/>
      <c r="AK295" s="5"/>
      <c r="AL295" s="5"/>
      <c r="AM295" s="5"/>
    </row>
    <row r="296" spans="1:39" ht="15.75" customHeight="1" x14ac:dyDescent="0.2">
      <c r="A296" s="5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5"/>
      <c r="AF296" s="5"/>
      <c r="AG296" s="5"/>
      <c r="AH296" s="5"/>
      <c r="AI296" s="5"/>
      <c r="AJ296" s="5"/>
      <c r="AK296" s="5"/>
      <c r="AL296" s="5"/>
      <c r="AM296" s="5"/>
    </row>
    <row r="297" spans="1:39" ht="15.75" customHeight="1" x14ac:dyDescent="0.2">
      <c r="A297" s="5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5"/>
      <c r="AF297" s="5"/>
      <c r="AG297" s="5"/>
      <c r="AH297" s="5"/>
      <c r="AI297" s="5"/>
      <c r="AJ297" s="5"/>
      <c r="AK297" s="5"/>
      <c r="AL297" s="5"/>
      <c r="AM297" s="5"/>
    </row>
    <row r="298" spans="1:39" ht="15.75" customHeight="1" x14ac:dyDescent="0.2">
      <c r="A298" s="5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5"/>
      <c r="AF298" s="5"/>
      <c r="AG298" s="5"/>
      <c r="AH298" s="5"/>
      <c r="AI298" s="5"/>
      <c r="AJ298" s="5"/>
      <c r="AK298" s="5"/>
      <c r="AL298" s="5"/>
      <c r="AM298" s="5"/>
    </row>
    <row r="299" spans="1:39" ht="15.75" customHeight="1" x14ac:dyDescent="0.2">
      <c r="A299" s="5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5"/>
      <c r="AF299" s="5"/>
      <c r="AG299" s="5"/>
      <c r="AH299" s="5"/>
      <c r="AI299" s="5"/>
      <c r="AJ299" s="5"/>
      <c r="AK299" s="5"/>
      <c r="AL299" s="5"/>
      <c r="AM299" s="5"/>
    </row>
    <row r="300" spans="1:39" ht="15.75" customHeight="1" x14ac:dyDescent="0.2">
      <c r="A300" s="5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5"/>
      <c r="AF300" s="5"/>
      <c r="AG300" s="5"/>
      <c r="AH300" s="5"/>
      <c r="AI300" s="5"/>
      <c r="AJ300" s="5"/>
      <c r="AK300" s="5"/>
      <c r="AL300" s="5"/>
      <c r="AM300" s="5"/>
    </row>
    <row r="301" spans="1:39" ht="15.75" customHeight="1" x14ac:dyDescent="0.2">
      <c r="A301" s="5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5"/>
      <c r="AF301" s="5"/>
      <c r="AG301" s="5"/>
      <c r="AH301" s="5"/>
      <c r="AI301" s="5"/>
      <c r="AJ301" s="5"/>
      <c r="AK301" s="5"/>
      <c r="AL301" s="5"/>
      <c r="AM301" s="5"/>
    </row>
    <row r="302" spans="1:39" ht="15.75" customHeight="1" x14ac:dyDescent="0.2">
      <c r="A302" s="5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5"/>
      <c r="AF302" s="5"/>
      <c r="AG302" s="5"/>
      <c r="AH302" s="5"/>
      <c r="AI302" s="5"/>
      <c r="AJ302" s="5"/>
      <c r="AK302" s="5"/>
      <c r="AL302" s="5"/>
      <c r="AM302" s="5"/>
    </row>
    <row r="303" spans="1:39" ht="15.75" customHeight="1" x14ac:dyDescent="0.2">
      <c r="A303" s="5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5"/>
      <c r="AF303" s="5"/>
      <c r="AG303" s="5"/>
      <c r="AH303" s="5"/>
      <c r="AI303" s="5"/>
      <c r="AJ303" s="5"/>
      <c r="AK303" s="5"/>
      <c r="AL303" s="5"/>
      <c r="AM303" s="5"/>
    </row>
    <row r="304" spans="1:39" ht="15.75" customHeight="1" x14ac:dyDescent="0.2">
      <c r="A304" s="5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5"/>
      <c r="AF304" s="5"/>
      <c r="AG304" s="5"/>
      <c r="AH304" s="5"/>
      <c r="AI304" s="5"/>
      <c r="AJ304" s="5"/>
      <c r="AK304" s="5"/>
      <c r="AL304" s="5"/>
      <c r="AM304" s="5"/>
    </row>
    <row r="305" spans="1:39" ht="15.75" customHeight="1" x14ac:dyDescent="0.2">
      <c r="A305" s="5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5"/>
      <c r="AF305" s="5"/>
      <c r="AG305" s="5"/>
      <c r="AH305" s="5"/>
      <c r="AI305" s="5"/>
      <c r="AJ305" s="5"/>
      <c r="AK305" s="5"/>
      <c r="AL305" s="5"/>
      <c r="AM305" s="5"/>
    </row>
    <row r="306" spans="1:39" ht="15.75" customHeight="1" x14ac:dyDescent="0.2">
      <c r="A306" s="5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5"/>
      <c r="AF306" s="5"/>
      <c r="AG306" s="5"/>
      <c r="AH306" s="5"/>
      <c r="AI306" s="5"/>
      <c r="AJ306" s="5"/>
      <c r="AK306" s="5"/>
      <c r="AL306" s="5"/>
      <c r="AM306" s="5"/>
    </row>
    <row r="307" spans="1:39" ht="15.75" customHeight="1" x14ac:dyDescent="0.2">
      <c r="A307" s="5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5"/>
      <c r="AF307" s="5"/>
      <c r="AG307" s="5"/>
      <c r="AH307" s="5"/>
      <c r="AI307" s="5"/>
      <c r="AJ307" s="5"/>
      <c r="AK307" s="5"/>
      <c r="AL307" s="5"/>
      <c r="AM307" s="5"/>
    </row>
    <row r="308" spans="1:39" ht="15.75" customHeight="1" x14ac:dyDescent="0.2">
      <c r="A308" s="5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5"/>
      <c r="AF308" s="5"/>
      <c r="AG308" s="5"/>
      <c r="AH308" s="5"/>
      <c r="AI308" s="5"/>
      <c r="AJ308" s="5"/>
      <c r="AK308" s="5"/>
      <c r="AL308" s="5"/>
      <c r="AM308" s="5"/>
    </row>
    <row r="309" spans="1:39" ht="15.75" customHeight="1" x14ac:dyDescent="0.2">
      <c r="A309" s="5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5"/>
      <c r="AF309" s="5"/>
      <c r="AG309" s="5"/>
      <c r="AH309" s="5"/>
      <c r="AI309" s="5"/>
      <c r="AJ309" s="5"/>
      <c r="AK309" s="5"/>
      <c r="AL309" s="5"/>
      <c r="AM309" s="5"/>
    </row>
    <row r="310" spans="1:39" ht="15.75" customHeight="1" x14ac:dyDescent="0.2">
      <c r="A310" s="5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5"/>
      <c r="AF310" s="5"/>
      <c r="AG310" s="5"/>
      <c r="AH310" s="5"/>
      <c r="AI310" s="5"/>
      <c r="AJ310" s="5"/>
      <c r="AK310" s="5"/>
      <c r="AL310" s="5"/>
      <c r="AM310" s="5"/>
    </row>
    <row r="311" spans="1:39" ht="15.75" customHeight="1" x14ac:dyDescent="0.2">
      <c r="A311" s="5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5"/>
      <c r="AF311" s="5"/>
      <c r="AG311" s="5"/>
      <c r="AH311" s="5"/>
      <c r="AI311" s="5"/>
      <c r="AJ311" s="5"/>
      <c r="AK311" s="5"/>
      <c r="AL311" s="5"/>
      <c r="AM311" s="5"/>
    </row>
    <row r="312" spans="1:39" ht="15.75" customHeight="1" x14ac:dyDescent="0.2">
      <c r="A312" s="5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5"/>
      <c r="AF312" s="5"/>
      <c r="AG312" s="5"/>
      <c r="AH312" s="5"/>
      <c r="AI312" s="5"/>
      <c r="AJ312" s="5"/>
      <c r="AK312" s="5"/>
      <c r="AL312" s="5"/>
      <c r="AM312" s="5"/>
    </row>
    <row r="313" spans="1:39" ht="15.75" customHeight="1" x14ac:dyDescent="0.2">
      <c r="A313" s="5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5"/>
      <c r="AF313" s="5"/>
      <c r="AG313" s="5"/>
      <c r="AH313" s="5"/>
      <c r="AI313" s="5"/>
      <c r="AJ313" s="5"/>
      <c r="AK313" s="5"/>
      <c r="AL313" s="5"/>
      <c r="AM313" s="5"/>
    </row>
    <row r="314" spans="1:39" ht="15.75" customHeight="1" x14ac:dyDescent="0.2">
      <c r="A314" s="5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5"/>
      <c r="AF314" s="5"/>
      <c r="AG314" s="5"/>
      <c r="AH314" s="5"/>
      <c r="AI314" s="5"/>
      <c r="AJ314" s="5"/>
      <c r="AK314" s="5"/>
      <c r="AL314" s="5"/>
      <c r="AM314" s="5"/>
    </row>
    <row r="315" spans="1:39" ht="15.75" customHeight="1" x14ac:dyDescent="0.2">
      <c r="A315" s="5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5"/>
      <c r="AF315" s="5"/>
      <c r="AG315" s="5"/>
      <c r="AH315" s="5"/>
      <c r="AI315" s="5"/>
      <c r="AJ315" s="5"/>
      <c r="AK315" s="5"/>
      <c r="AL315" s="5"/>
      <c r="AM315" s="5"/>
    </row>
    <row r="316" spans="1:39" ht="15.75" customHeight="1" x14ac:dyDescent="0.2">
      <c r="A316" s="5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5"/>
      <c r="AF316" s="5"/>
      <c r="AG316" s="5"/>
      <c r="AH316" s="5"/>
      <c r="AI316" s="5"/>
      <c r="AJ316" s="5"/>
      <c r="AK316" s="5"/>
      <c r="AL316" s="5"/>
      <c r="AM316" s="5"/>
    </row>
    <row r="317" spans="1:39" ht="15.75" customHeight="1" x14ac:dyDescent="0.2">
      <c r="A317" s="5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5"/>
      <c r="AF317" s="5"/>
      <c r="AG317" s="5"/>
      <c r="AH317" s="5"/>
      <c r="AI317" s="5"/>
      <c r="AJ317" s="5"/>
      <c r="AK317" s="5"/>
      <c r="AL317" s="5"/>
      <c r="AM317" s="5"/>
    </row>
    <row r="318" spans="1:39" ht="15.75" customHeight="1" x14ac:dyDescent="0.2">
      <c r="A318" s="5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5"/>
      <c r="AF318" s="5"/>
      <c r="AG318" s="5"/>
      <c r="AH318" s="5"/>
      <c r="AI318" s="5"/>
      <c r="AJ318" s="5"/>
      <c r="AK318" s="5"/>
      <c r="AL318" s="5"/>
      <c r="AM318" s="5"/>
    </row>
    <row r="319" spans="1:39" ht="15.75" customHeight="1" x14ac:dyDescent="0.2">
      <c r="A319" s="5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5"/>
      <c r="AF319" s="5"/>
      <c r="AG319" s="5"/>
      <c r="AH319" s="5"/>
      <c r="AI319" s="5"/>
      <c r="AJ319" s="5"/>
      <c r="AK319" s="5"/>
      <c r="AL319" s="5"/>
      <c r="AM319" s="5"/>
    </row>
    <row r="320" spans="1:39" ht="15.75" customHeight="1" x14ac:dyDescent="0.2">
      <c r="A320" s="5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5"/>
      <c r="AF320" s="5"/>
      <c r="AG320" s="5"/>
      <c r="AH320" s="5"/>
      <c r="AI320" s="5"/>
      <c r="AJ320" s="5"/>
      <c r="AK320" s="5"/>
      <c r="AL320" s="5"/>
      <c r="AM320" s="5"/>
    </row>
    <row r="321" spans="1:39" ht="15.75" customHeight="1" x14ac:dyDescent="0.2">
      <c r="A321" s="5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5"/>
      <c r="AF321" s="5"/>
      <c r="AG321" s="5"/>
      <c r="AH321" s="5"/>
      <c r="AI321" s="5"/>
      <c r="AJ321" s="5"/>
      <c r="AK321" s="5"/>
      <c r="AL321" s="5"/>
      <c r="AM321" s="5"/>
    </row>
    <row r="322" spans="1:39" ht="15.75" customHeight="1" x14ac:dyDescent="0.2">
      <c r="A322" s="5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5"/>
      <c r="AF322" s="5"/>
      <c r="AG322" s="5"/>
      <c r="AH322" s="5"/>
      <c r="AI322" s="5"/>
      <c r="AJ322" s="5"/>
      <c r="AK322" s="5"/>
      <c r="AL322" s="5"/>
      <c r="AM322" s="5"/>
    </row>
    <row r="323" spans="1:39" ht="15.75" customHeight="1" x14ac:dyDescent="0.2">
      <c r="A323" s="5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5"/>
      <c r="AF323" s="5"/>
      <c r="AG323" s="5"/>
      <c r="AH323" s="5"/>
      <c r="AI323" s="5"/>
      <c r="AJ323" s="5"/>
      <c r="AK323" s="5"/>
      <c r="AL323" s="5"/>
      <c r="AM323" s="5"/>
    </row>
    <row r="324" spans="1:39" ht="15.75" customHeight="1" x14ac:dyDescent="0.2">
      <c r="A324" s="5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5"/>
      <c r="AF324" s="5"/>
      <c r="AG324" s="5"/>
      <c r="AH324" s="5"/>
      <c r="AI324" s="5"/>
      <c r="AJ324" s="5"/>
      <c r="AK324" s="5"/>
      <c r="AL324" s="5"/>
      <c r="AM324" s="5"/>
    </row>
    <row r="325" spans="1:39" ht="15.75" customHeight="1" x14ac:dyDescent="0.2">
      <c r="A325" s="5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5"/>
      <c r="AF325" s="5"/>
      <c r="AG325" s="5"/>
      <c r="AH325" s="5"/>
      <c r="AI325" s="5"/>
      <c r="AJ325" s="5"/>
      <c r="AK325" s="5"/>
      <c r="AL325" s="5"/>
      <c r="AM325" s="5"/>
    </row>
    <row r="326" spans="1:39" ht="15.75" customHeight="1" x14ac:dyDescent="0.2">
      <c r="A326" s="5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5"/>
      <c r="AF326" s="5"/>
      <c r="AG326" s="5"/>
      <c r="AH326" s="5"/>
      <c r="AI326" s="5"/>
      <c r="AJ326" s="5"/>
      <c r="AK326" s="5"/>
      <c r="AL326" s="5"/>
      <c r="AM326" s="5"/>
    </row>
    <row r="327" spans="1:39" ht="15.75" customHeight="1" x14ac:dyDescent="0.2">
      <c r="A327" s="5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5"/>
      <c r="AF327" s="5"/>
      <c r="AG327" s="5"/>
      <c r="AH327" s="5"/>
      <c r="AI327" s="5"/>
      <c r="AJ327" s="5"/>
      <c r="AK327" s="5"/>
      <c r="AL327" s="5"/>
      <c r="AM327" s="5"/>
    </row>
    <row r="328" spans="1:39" ht="15.75" customHeight="1" x14ac:dyDescent="0.2">
      <c r="A328" s="5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5"/>
      <c r="AF328" s="5"/>
      <c r="AG328" s="5"/>
      <c r="AH328" s="5"/>
      <c r="AI328" s="5"/>
      <c r="AJ328" s="5"/>
      <c r="AK328" s="5"/>
      <c r="AL328" s="5"/>
      <c r="AM328" s="5"/>
    </row>
    <row r="329" spans="1:39" ht="15.75" customHeight="1" x14ac:dyDescent="0.2">
      <c r="A329" s="5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5"/>
      <c r="AF329" s="5"/>
      <c r="AG329" s="5"/>
      <c r="AH329" s="5"/>
      <c r="AI329" s="5"/>
      <c r="AJ329" s="5"/>
      <c r="AK329" s="5"/>
      <c r="AL329" s="5"/>
      <c r="AM329" s="5"/>
    </row>
    <row r="330" spans="1:39" ht="15.75" customHeight="1" x14ac:dyDescent="0.2">
      <c r="A330" s="5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5"/>
      <c r="AF330" s="5"/>
      <c r="AG330" s="5"/>
      <c r="AH330" s="5"/>
      <c r="AI330" s="5"/>
      <c r="AJ330" s="5"/>
      <c r="AK330" s="5"/>
      <c r="AL330" s="5"/>
      <c r="AM330" s="5"/>
    </row>
    <row r="331" spans="1:39" ht="15.75" customHeight="1" x14ac:dyDescent="0.2">
      <c r="A331" s="5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5"/>
      <c r="AF331" s="5"/>
      <c r="AG331" s="5"/>
      <c r="AH331" s="5"/>
      <c r="AI331" s="5"/>
      <c r="AJ331" s="5"/>
      <c r="AK331" s="5"/>
      <c r="AL331" s="5"/>
      <c r="AM331" s="5"/>
    </row>
    <row r="332" spans="1:39" ht="15.75" customHeight="1" x14ac:dyDescent="0.2">
      <c r="A332" s="5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5"/>
      <c r="AF332" s="5"/>
      <c r="AG332" s="5"/>
      <c r="AH332" s="5"/>
      <c r="AI332" s="5"/>
      <c r="AJ332" s="5"/>
      <c r="AK332" s="5"/>
      <c r="AL332" s="5"/>
      <c r="AM332" s="5"/>
    </row>
    <row r="333" spans="1:39" ht="15.75" customHeight="1" x14ac:dyDescent="0.2">
      <c r="A333" s="5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5"/>
      <c r="AF333" s="5"/>
      <c r="AG333" s="5"/>
      <c r="AH333" s="5"/>
      <c r="AI333" s="5"/>
      <c r="AJ333" s="5"/>
      <c r="AK333" s="5"/>
      <c r="AL333" s="5"/>
      <c r="AM333" s="5"/>
    </row>
    <row r="334" spans="1:39" ht="15.75" customHeight="1" x14ac:dyDescent="0.2">
      <c r="A334" s="5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5"/>
      <c r="AF334" s="5"/>
      <c r="AG334" s="5"/>
      <c r="AH334" s="5"/>
      <c r="AI334" s="5"/>
      <c r="AJ334" s="5"/>
      <c r="AK334" s="5"/>
      <c r="AL334" s="5"/>
      <c r="AM334" s="5"/>
    </row>
    <row r="335" spans="1:39" ht="15.75" customHeight="1" x14ac:dyDescent="0.2">
      <c r="A335" s="5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5"/>
      <c r="AF335" s="5"/>
      <c r="AG335" s="5"/>
      <c r="AH335" s="5"/>
      <c r="AI335" s="5"/>
      <c r="AJ335" s="5"/>
      <c r="AK335" s="5"/>
      <c r="AL335" s="5"/>
      <c r="AM335" s="5"/>
    </row>
    <row r="336" spans="1:39" ht="15.75" customHeight="1" x14ac:dyDescent="0.2">
      <c r="A336" s="5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5"/>
      <c r="AF336" s="5"/>
      <c r="AG336" s="5"/>
      <c r="AH336" s="5"/>
      <c r="AI336" s="5"/>
      <c r="AJ336" s="5"/>
      <c r="AK336" s="5"/>
      <c r="AL336" s="5"/>
      <c r="AM336" s="5"/>
    </row>
    <row r="337" spans="1:39" ht="15.75" customHeight="1" x14ac:dyDescent="0.2">
      <c r="A337" s="5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5"/>
      <c r="AF337" s="5"/>
      <c r="AG337" s="5"/>
      <c r="AH337" s="5"/>
      <c r="AI337" s="5"/>
      <c r="AJ337" s="5"/>
      <c r="AK337" s="5"/>
      <c r="AL337" s="5"/>
      <c r="AM337" s="5"/>
    </row>
    <row r="338" spans="1:39" ht="15.75" customHeight="1" x14ac:dyDescent="0.2">
      <c r="A338" s="5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5"/>
      <c r="AF338" s="5"/>
      <c r="AG338" s="5"/>
      <c r="AH338" s="5"/>
      <c r="AI338" s="5"/>
      <c r="AJ338" s="5"/>
      <c r="AK338" s="5"/>
      <c r="AL338" s="5"/>
      <c r="AM338" s="5"/>
    </row>
    <row r="339" spans="1:39" ht="15.75" customHeight="1" x14ac:dyDescent="0.2">
      <c r="A339" s="5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5"/>
      <c r="AF339" s="5"/>
      <c r="AG339" s="5"/>
      <c r="AH339" s="5"/>
      <c r="AI339" s="5"/>
      <c r="AJ339" s="5"/>
      <c r="AK339" s="5"/>
      <c r="AL339" s="5"/>
      <c r="AM339" s="5"/>
    </row>
    <row r="340" spans="1:39" ht="15.75" customHeight="1" x14ac:dyDescent="0.2">
      <c r="A340" s="5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5"/>
      <c r="AF340" s="5"/>
      <c r="AG340" s="5"/>
      <c r="AH340" s="5"/>
      <c r="AI340" s="5"/>
      <c r="AJ340" s="5"/>
      <c r="AK340" s="5"/>
      <c r="AL340" s="5"/>
      <c r="AM340" s="5"/>
    </row>
    <row r="341" spans="1:39" ht="15.75" customHeight="1" x14ac:dyDescent="0.2">
      <c r="A341" s="5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5"/>
      <c r="AF341" s="5"/>
      <c r="AG341" s="5"/>
      <c r="AH341" s="5"/>
      <c r="AI341" s="5"/>
      <c r="AJ341" s="5"/>
      <c r="AK341" s="5"/>
      <c r="AL341" s="5"/>
      <c r="AM341" s="5"/>
    </row>
    <row r="342" spans="1:39" ht="15.75" customHeight="1" x14ac:dyDescent="0.2">
      <c r="A342" s="5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5"/>
      <c r="AF342" s="5"/>
      <c r="AG342" s="5"/>
      <c r="AH342" s="5"/>
      <c r="AI342" s="5"/>
      <c r="AJ342" s="5"/>
      <c r="AK342" s="5"/>
      <c r="AL342" s="5"/>
      <c r="AM342" s="5"/>
    </row>
    <row r="343" spans="1:39" ht="15.75" customHeight="1" x14ac:dyDescent="0.2">
      <c r="A343" s="5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5"/>
      <c r="AF343" s="5"/>
      <c r="AG343" s="5"/>
      <c r="AH343" s="5"/>
      <c r="AI343" s="5"/>
      <c r="AJ343" s="5"/>
      <c r="AK343" s="5"/>
      <c r="AL343" s="5"/>
      <c r="AM343" s="5"/>
    </row>
    <row r="344" spans="1:39" ht="15.75" customHeight="1" x14ac:dyDescent="0.2">
      <c r="A344" s="5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5"/>
      <c r="AF344" s="5"/>
      <c r="AG344" s="5"/>
      <c r="AH344" s="5"/>
      <c r="AI344" s="5"/>
      <c r="AJ344" s="5"/>
      <c r="AK344" s="5"/>
      <c r="AL344" s="5"/>
      <c r="AM344" s="5"/>
    </row>
    <row r="345" spans="1:39" ht="15.75" customHeight="1" x14ac:dyDescent="0.2">
      <c r="A345" s="5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5"/>
      <c r="AF345" s="5"/>
      <c r="AG345" s="5"/>
      <c r="AH345" s="5"/>
      <c r="AI345" s="5"/>
      <c r="AJ345" s="5"/>
      <c r="AK345" s="5"/>
      <c r="AL345" s="5"/>
      <c r="AM345" s="5"/>
    </row>
    <row r="346" spans="1:39" ht="15.75" customHeight="1" x14ac:dyDescent="0.2">
      <c r="A346" s="5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5"/>
      <c r="AF346" s="5"/>
      <c r="AG346" s="5"/>
      <c r="AH346" s="5"/>
      <c r="AI346" s="5"/>
      <c r="AJ346" s="5"/>
      <c r="AK346" s="5"/>
      <c r="AL346" s="5"/>
      <c r="AM346" s="5"/>
    </row>
    <row r="347" spans="1:39" ht="15.75" customHeight="1" x14ac:dyDescent="0.2">
      <c r="A347" s="5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5"/>
      <c r="AF347" s="5"/>
      <c r="AG347" s="5"/>
      <c r="AH347" s="5"/>
      <c r="AI347" s="5"/>
      <c r="AJ347" s="5"/>
      <c r="AK347" s="5"/>
      <c r="AL347" s="5"/>
      <c r="AM347" s="5"/>
    </row>
    <row r="348" spans="1:39" ht="15.75" customHeight="1" x14ac:dyDescent="0.2">
      <c r="A348" s="5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5"/>
      <c r="AF348" s="5"/>
      <c r="AG348" s="5"/>
      <c r="AH348" s="5"/>
      <c r="AI348" s="5"/>
      <c r="AJ348" s="5"/>
      <c r="AK348" s="5"/>
      <c r="AL348" s="5"/>
      <c r="AM348" s="5"/>
    </row>
    <row r="349" spans="1:39" ht="15.75" customHeight="1" x14ac:dyDescent="0.2">
      <c r="A349" s="5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5"/>
      <c r="AF349" s="5"/>
      <c r="AG349" s="5"/>
      <c r="AH349" s="5"/>
      <c r="AI349" s="5"/>
      <c r="AJ349" s="5"/>
      <c r="AK349" s="5"/>
      <c r="AL349" s="5"/>
      <c r="AM349" s="5"/>
    </row>
    <row r="350" spans="1:39" ht="15.75" customHeight="1" x14ac:dyDescent="0.2">
      <c r="A350" s="5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5"/>
      <c r="AF350" s="5"/>
      <c r="AG350" s="5"/>
      <c r="AH350" s="5"/>
      <c r="AI350" s="5"/>
      <c r="AJ350" s="5"/>
      <c r="AK350" s="5"/>
      <c r="AL350" s="5"/>
      <c r="AM350" s="5"/>
    </row>
    <row r="351" spans="1:39" ht="15.75" customHeight="1" x14ac:dyDescent="0.2">
      <c r="A351" s="5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5"/>
      <c r="AF351" s="5"/>
      <c r="AG351" s="5"/>
      <c r="AH351" s="5"/>
      <c r="AI351" s="5"/>
      <c r="AJ351" s="5"/>
      <c r="AK351" s="5"/>
      <c r="AL351" s="5"/>
      <c r="AM351" s="5"/>
    </row>
    <row r="352" spans="1:39" ht="15.75" customHeight="1" x14ac:dyDescent="0.2">
      <c r="A352" s="5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5"/>
      <c r="AF352" s="5"/>
      <c r="AG352" s="5"/>
      <c r="AH352" s="5"/>
      <c r="AI352" s="5"/>
      <c r="AJ352" s="5"/>
      <c r="AK352" s="5"/>
      <c r="AL352" s="5"/>
      <c r="AM352" s="5"/>
    </row>
    <row r="353" spans="1:39" ht="15.75" customHeight="1" x14ac:dyDescent="0.2">
      <c r="A353" s="5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5"/>
      <c r="AF353" s="5"/>
      <c r="AG353" s="5"/>
      <c r="AH353" s="5"/>
      <c r="AI353" s="5"/>
      <c r="AJ353" s="5"/>
      <c r="AK353" s="5"/>
      <c r="AL353" s="5"/>
      <c r="AM353" s="5"/>
    </row>
    <row r="354" spans="1:39" ht="15.75" customHeight="1" x14ac:dyDescent="0.2">
      <c r="A354" s="5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5"/>
      <c r="AF354" s="5"/>
      <c r="AG354" s="5"/>
      <c r="AH354" s="5"/>
      <c r="AI354" s="5"/>
      <c r="AJ354" s="5"/>
      <c r="AK354" s="5"/>
      <c r="AL354" s="5"/>
      <c r="AM354" s="5"/>
    </row>
    <row r="355" spans="1:39" ht="15.75" customHeight="1" x14ac:dyDescent="0.2">
      <c r="A355" s="5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5"/>
      <c r="AF355" s="5"/>
      <c r="AG355" s="5"/>
      <c r="AH355" s="5"/>
      <c r="AI355" s="5"/>
      <c r="AJ355" s="5"/>
      <c r="AK355" s="5"/>
      <c r="AL355" s="5"/>
      <c r="AM355" s="5"/>
    </row>
    <row r="356" spans="1:39" ht="15.75" customHeight="1" x14ac:dyDescent="0.2">
      <c r="A356" s="5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5"/>
      <c r="AF356" s="5"/>
      <c r="AG356" s="5"/>
      <c r="AH356" s="5"/>
      <c r="AI356" s="5"/>
      <c r="AJ356" s="5"/>
      <c r="AK356" s="5"/>
      <c r="AL356" s="5"/>
      <c r="AM356" s="5"/>
    </row>
    <row r="357" spans="1:39" ht="15.75" customHeight="1" x14ac:dyDescent="0.2">
      <c r="A357" s="5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5"/>
      <c r="AF357" s="5"/>
      <c r="AG357" s="5"/>
      <c r="AH357" s="5"/>
      <c r="AI357" s="5"/>
      <c r="AJ357" s="5"/>
      <c r="AK357" s="5"/>
      <c r="AL357" s="5"/>
      <c r="AM357" s="5"/>
    </row>
    <row r="358" spans="1:39" ht="15.75" customHeight="1" x14ac:dyDescent="0.2">
      <c r="A358" s="5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5"/>
      <c r="AF358" s="5"/>
      <c r="AG358" s="5"/>
      <c r="AH358" s="5"/>
      <c r="AI358" s="5"/>
      <c r="AJ358" s="5"/>
      <c r="AK358" s="5"/>
      <c r="AL358" s="5"/>
      <c r="AM358" s="5"/>
    </row>
    <row r="359" spans="1:39" ht="15.75" customHeight="1" x14ac:dyDescent="0.2">
      <c r="A359" s="5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5"/>
      <c r="AF359" s="5"/>
      <c r="AG359" s="5"/>
      <c r="AH359" s="5"/>
      <c r="AI359" s="5"/>
      <c r="AJ359" s="5"/>
      <c r="AK359" s="5"/>
      <c r="AL359" s="5"/>
      <c r="AM359" s="5"/>
    </row>
    <row r="360" spans="1:39" ht="15.75" customHeight="1" x14ac:dyDescent="0.2">
      <c r="A360" s="5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5"/>
      <c r="AF360" s="5"/>
      <c r="AG360" s="5"/>
      <c r="AH360" s="5"/>
      <c r="AI360" s="5"/>
      <c r="AJ360" s="5"/>
      <c r="AK360" s="5"/>
      <c r="AL360" s="5"/>
      <c r="AM360" s="5"/>
    </row>
    <row r="361" spans="1:39" ht="15.75" customHeight="1" x14ac:dyDescent="0.2">
      <c r="A361" s="5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5"/>
      <c r="AF361" s="5"/>
      <c r="AG361" s="5"/>
      <c r="AH361" s="5"/>
      <c r="AI361" s="5"/>
      <c r="AJ361" s="5"/>
      <c r="AK361" s="5"/>
      <c r="AL361" s="5"/>
      <c r="AM361" s="5"/>
    </row>
    <row r="362" spans="1:39" ht="15.75" customHeight="1" x14ac:dyDescent="0.2">
      <c r="A362" s="5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5"/>
      <c r="AF362" s="5"/>
      <c r="AG362" s="5"/>
      <c r="AH362" s="5"/>
      <c r="AI362" s="5"/>
      <c r="AJ362" s="5"/>
      <c r="AK362" s="5"/>
      <c r="AL362" s="5"/>
      <c r="AM362" s="5"/>
    </row>
    <row r="363" spans="1:39" ht="15.75" customHeight="1" x14ac:dyDescent="0.2">
      <c r="A363" s="5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5"/>
      <c r="AF363" s="5"/>
      <c r="AG363" s="5"/>
      <c r="AH363" s="5"/>
      <c r="AI363" s="5"/>
      <c r="AJ363" s="5"/>
      <c r="AK363" s="5"/>
      <c r="AL363" s="5"/>
      <c r="AM363" s="5"/>
    </row>
    <row r="364" spans="1:39" ht="15.75" customHeight="1" x14ac:dyDescent="0.2">
      <c r="A364" s="5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5"/>
      <c r="AF364" s="5"/>
      <c r="AG364" s="5"/>
      <c r="AH364" s="5"/>
      <c r="AI364" s="5"/>
      <c r="AJ364" s="5"/>
      <c r="AK364" s="5"/>
      <c r="AL364" s="5"/>
      <c r="AM364" s="5"/>
    </row>
    <row r="365" spans="1:39" ht="15.75" customHeight="1" x14ac:dyDescent="0.2">
      <c r="A365" s="5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5"/>
      <c r="AF365" s="5"/>
      <c r="AG365" s="5"/>
      <c r="AH365" s="5"/>
      <c r="AI365" s="5"/>
      <c r="AJ365" s="5"/>
      <c r="AK365" s="5"/>
      <c r="AL365" s="5"/>
      <c r="AM365" s="5"/>
    </row>
    <row r="366" spans="1:39" ht="15.75" customHeight="1" x14ac:dyDescent="0.2">
      <c r="A366" s="5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5"/>
      <c r="AF366" s="5"/>
      <c r="AG366" s="5"/>
      <c r="AH366" s="5"/>
      <c r="AI366" s="5"/>
      <c r="AJ366" s="5"/>
      <c r="AK366" s="5"/>
      <c r="AL366" s="5"/>
      <c r="AM366" s="5"/>
    </row>
    <row r="367" spans="1:39" ht="15.75" customHeight="1" x14ac:dyDescent="0.2">
      <c r="A367" s="5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5"/>
      <c r="AF367" s="5"/>
      <c r="AG367" s="5"/>
      <c r="AH367" s="5"/>
      <c r="AI367" s="5"/>
      <c r="AJ367" s="5"/>
      <c r="AK367" s="5"/>
      <c r="AL367" s="5"/>
      <c r="AM367" s="5"/>
    </row>
    <row r="368" spans="1:39" ht="15.75" customHeight="1" x14ac:dyDescent="0.2">
      <c r="A368" s="5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5"/>
      <c r="AF368" s="5"/>
      <c r="AG368" s="5"/>
      <c r="AH368" s="5"/>
      <c r="AI368" s="5"/>
      <c r="AJ368" s="5"/>
      <c r="AK368" s="5"/>
      <c r="AL368" s="5"/>
      <c r="AM368" s="5"/>
    </row>
    <row r="369" spans="1:39" ht="15.75" customHeight="1" x14ac:dyDescent="0.2">
      <c r="A369" s="5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5"/>
      <c r="AF369" s="5"/>
      <c r="AG369" s="5"/>
      <c r="AH369" s="5"/>
      <c r="AI369" s="5"/>
      <c r="AJ369" s="5"/>
      <c r="AK369" s="5"/>
      <c r="AL369" s="5"/>
      <c r="AM369" s="5"/>
    </row>
    <row r="370" spans="1:39" ht="15.75" customHeight="1" x14ac:dyDescent="0.2">
      <c r="A370" s="5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5"/>
      <c r="AF370" s="5"/>
      <c r="AG370" s="5"/>
      <c r="AH370" s="5"/>
      <c r="AI370" s="5"/>
      <c r="AJ370" s="5"/>
      <c r="AK370" s="5"/>
      <c r="AL370" s="5"/>
      <c r="AM370" s="5"/>
    </row>
    <row r="371" spans="1:39" ht="15.75" customHeight="1" x14ac:dyDescent="0.2">
      <c r="A371" s="5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5"/>
      <c r="AF371" s="5"/>
      <c r="AG371" s="5"/>
      <c r="AH371" s="5"/>
      <c r="AI371" s="5"/>
      <c r="AJ371" s="5"/>
      <c r="AK371" s="5"/>
      <c r="AL371" s="5"/>
      <c r="AM371" s="5"/>
    </row>
    <row r="372" spans="1:39" ht="15.75" customHeight="1" x14ac:dyDescent="0.2">
      <c r="A372" s="5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5"/>
      <c r="AF372" s="5"/>
      <c r="AG372" s="5"/>
      <c r="AH372" s="5"/>
      <c r="AI372" s="5"/>
      <c r="AJ372" s="5"/>
      <c r="AK372" s="5"/>
      <c r="AL372" s="5"/>
      <c r="AM372" s="5"/>
    </row>
    <row r="373" spans="1:39" ht="15.75" customHeight="1" x14ac:dyDescent="0.2">
      <c r="A373" s="5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5"/>
      <c r="AF373" s="5"/>
      <c r="AG373" s="5"/>
      <c r="AH373" s="5"/>
      <c r="AI373" s="5"/>
      <c r="AJ373" s="5"/>
      <c r="AK373" s="5"/>
      <c r="AL373" s="5"/>
      <c r="AM373" s="5"/>
    </row>
    <row r="374" spans="1:39" ht="15.75" customHeight="1" x14ac:dyDescent="0.2">
      <c r="A374" s="5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5"/>
      <c r="AF374" s="5"/>
      <c r="AG374" s="5"/>
      <c r="AH374" s="5"/>
      <c r="AI374" s="5"/>
      <c r="AJ374" s="5"/>
      <c r="AK374" s="5"/>
      <c r="AL374" s="5"/>
      <c r="AM374" s="5"/>
    </row>
    <row r="375" spans="1:39" ht="15.75" customHeight="1" x14ac:dyDescent="0.2">
      <c r="A375" s="5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5"/>
      <c r="AF375" s="5"/>
      <c r="AG375" s="5"/>
      <c r="AH375" s="5"/>
      <c r="AI375" s="5"/>
      <c r="AJ375" s="5"/>
      <c r="AK375" s="5"/>
      <c r="AL375" s="5"/>
      <c r="AM375" s="5"/>
    </row>
    <row r="376" spans="1:39" ht="15.75" customHeight="1" x14ac:dyDescent="0.2">
      <c r="A376" s="5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5"/>
      <c r="AF376" s="5"/>
      <c r="AG376" s="5"/>
      <c r="AH376" s="5"/>
      <c r="AI376" s="5"/>
      <c r="AJ376" s="5"/>
      <c r="AK376" s="5"/>
      <c r="AL376" s="5"/>
      <c r="AM376" s="5"/>
    </row>
    <row r="377" spans="1:39" ht="15.75" customHeight="1" x14ac:dyDescent="0.2">
      <c r="A377" s="5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5"/>
      <c r="AF377" s="5"/>
      <c r="AG377" s="5"/>
      <c r="AH377" s="5"/>
      <c r="AI377" s="5"/>
      <c r="AJ377" s="5"/>
      <c r="AK377" s="5"/>
      <c r="AL377" s="5"/>
      <c r="AM377" s="5"/>
    </row>
    <row r="378" spans="1:39" ht="15.75" customHeight="1" x14ac:dyDescent="0.2">
      <c r="A378" s="5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5"/>
      <c r="AF378" s="5"/>
      <c r="AG378" s="5"/>
      <c r="AH378" s="5"/>
      <c r="AI378" s="5"/>
      <c r="AJ378" s="5"/>
      <c r="AK378" s="5"/>
      <c r="AL378" s="5"/>
      <c r="AM378" s="5"/>
    </row>
    <row r="379" spans="1:39" ht="15.75" customHeight="1" x14ac:dyDescent="0.2">
      <c r="A379" s="5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5"/>
      <c r="AF379" s="5"/>
      <c r="AG379" s="5"/>
      <c r="AH379" s="5"/>
      <c r="AI379" s="5"/>
      <c r="AJ379" s="5"/>
      <c r="AK379" s="5"/>
      <c r="AL379" s="5"/>
      <c r="AM379" s="5"/>
    </row>
    <row r="380" spans="1:39" ht="15.75" customHeight="1" x14ac:dyDescent="0.2">
      <c r="A380" s="5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5"/>
      <c r="AF380" s="5"/>
      <c r="AG380" s="5"/>
      <c r="AH380" s="5"/>
      <c r="AI380" s="5"/>
      <c r="AJ380" s="5"/>
      <c r="AK380" s="5"/>
      <c r="AL380" s="5"/>
      <c r="AM380" s="5"/>
    </row>
    <row r="381" spans="1:39" ht="15.75" customHeight="1" x14ac:dyDescent="0.2">
      <c r="A381" s="5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5"/>
      <c r="AF381" s="5"/>
      <c r="AG381" s="5"/>
      <c r="AH381" s="5"/>
      <c r="AI381" s="5"/>
      <c r="AJ381" s="5"/>
      <c r="AK381" s="5"/>
      <c r="AL381" s="5"/>
      <c r="AM381" s="5"/>
    </row>
    <row r="382" spans="1:39" ht="15.75" customHeight="1" x14ac:dyDescent="0.2">
      <c r="A382" s="5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5"/>
      <c r="AF382" s="5"/>
      <c r="AG382" s="5"/>
      <c r="AH382" s="5"/>
      <c r="AI382" s="5"/>
      <c r="AJ382" s="5"/>
      <c r="AK382" s="5"/>
      <c r="AL382" s="5"/>
      <c r="AM382" s="5"/>
    </row>
    <row r="383" spans="1:39" ht="15.75" customHeight="1" x14ac:dyDescent="0.2">
      <c r="A383" s="5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5"/>
      <c r="AF383" s="5"/>
      <c r="AG383" s="5"/>
      <c r="AH383" s="5"/>
      <c r="AI383" s="5"/>
      <c r="AJ383" s="5"/>
      <c r="AK383" s="5"/>
      <c r="AL383" s="5"/>
      <c r="AM383" s="5"/>
    </row>
    <row r="384" spans="1:39" ht="15.75" customHeight="1" x14ac:dyDescent="0.2">
      <c r="A384" s="5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5"/>
      <c r="AF384" s="5"/>
      <c r="AG384" s="5"/>
      <c r="AH384" s="5"/>
      <c r="AI384" s="5"/>
      <c r="AJ384" s="5"/>
      <c r="AK384" s="5"/>
      <c r="AL384" s="5"/>
      <c r="AM384" s="5"/>
    </row>
    <row r="385" spans="1:39" ht="15.75" customHeight="1" x14ac:dyDescent="0.2">
      <c r="A385" s="5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5"/>
      <c r="AF385" s="5"/>
      <c r="AG385" s="5"/>
      <c r="AH385" s="5"/>
      <c r="AI385" s="5"/>
      <c r="AJ385" s="5"/>
      <c r="AK385" s="5"/>
      <c r="AL385" s="5"/>
      <c r="AM385" s="5"/>
    </row>
    <row r="386" spans="1:39" ht="15.75" customHeight="1" x14ac:dyDescent="0.2">
      <c r="A386" s="5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5"/>
      <c r="AF386" s="5"/>
      <c r="AG386" s="5"/>
      <c r="AH386" s="5"/>
      <c r="AI386" s="5"/>
      <c r="AJ386" s="5"/>
      <c r="AK386" s="5"/>
      <c r="AL386" s="5"/>
      <c r="AM386" s="5"/>
    </row>
    <row r="387" spans="1:39" ht="15.75" customHeight="1" x14ac:dyDescent="0.2">
      <c r="A387" s="5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5"/>
      <c r="AF387" s="5"/>
      <c r="AG387" s="5"/>
      <c r="AH387" s="5"/>
      <c r="AI387" s="5"/>
      <c r="AJ387" s="5"/>
      <c r="AK387" s="5"/>
      <c r="AL387" s="5"/>
      <c r="AM387" s="5"/>
    </row>
    <row r="388" spans="1:39" ht="15.75" customHeight="1" x14ac:dyDescent="0.2">
      <c r="A388" s="5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5"/>
      <c r="AF388" s="5"/>
      <c r="AG388" s="5"/>
      <c r="AH388" s="5"/>
      <c r="AI388" s="5"/>
      <c r="AJ388" s="5"/>
      <c r="AK388" s="5"/>
      <c r="AL388" s="5"/>
      <c r="AM388" s="5"/>
    </row>
    <row r="389" spans="1:39" ht="15.75" customHeight="1" x14ac:dyDescent="0.2">
      <c r="A389" s="5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5"/>
      <c r="AF389" s="5"/>
      <c r="AG389" s="5"/>
      <c r="AH389" s="5"/>
      <c r="AI389" s="5"/>
      <c r="AJ389" s="5"/>
      <c r="AK389" s="5"/>
      <c r="AL389" s="5"/>
      <c r="AM389" s="5"/>
    </row>
    <row r="390" spans="1:39" ht="15.75" customHeight="1" x14ac:dyDescent="0.2">
      <c r="A390" s="5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5"/>
      <c r="AF390" s="5"/>
      <c r="AG390" s="5"/>
      <c r="AH390" s="5"/>
      <c r="AI390" s="5"/>
      <c r="AJ390" s="5"/>
      <c r="AK390" s="5"/>
      <c r="AL390" s="5"/>
      <c r="AM390" s="5"/>
    </row>
    <row r="391" spans="1:39" ht="15.75" customHeight="1" x14ac:dyDescent="0.2">
      <c r="A391" s="5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5"/>
      <c r="AF391" s="5"/>
      <c r="AG391" s="5"/>
      <c r="AH391" s="5"/>
      <c r="AI391" s="5"/>
      <c r="AJ391" s="5"/>
      <c r="AK391" s="5"/>
      <c r="AL391" s="5"/>
      <c r="AM391" s="5"/>
    </row>
    <row r="392" spans="1:39" ht="15.75" customHeight="1" x14ac:dyDescent="0.2">
      <c r="A392" s="5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5"/>
      <c r="AF392" s="5"/>
      <c r="AG392" s="5"/>
      <c r="AH392" s="5"/>
      <c r="AI392" s="5"/>
      <c r="AJ392" s="5"/>
      <c r="AK392" s="5"/>
      <c r="AL392" s="5"/>
      <c r="AM392" s="5"/>
    </row>
    <row r="393" spans="1:39" ht="15.75" customHeight="1" x14ac:dyDescent="0.2">
      <c r="A393" s="5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5"/>
      <c r="AF393" s="5"/>
      <c r="AG393" s="5"/>
      <c r="AH393" s="5"/>
      <c r="AI393" s="5"/>
      <c r="AJ393" s="5"/>
      <c r="AK393" s="5"/>
      <c r="AL393" s="5"/>
      <c r="AM393" s="5"/>
    </row>
    <row r="394" spans="1:39" ht="15.75" customHeight="1" x14ac:dyDescent="0.2">
      <c r="A394" s="5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5"/>
      <c r="AF394" s="5"/>
      <c r="AG394" s="5"/>
      <c r="AH394" s="5"/>
      <c r="AI394" s="5"/>
      <c r="AJ394" s="5"/>
      <c r="AK394" s="5"/>
      <c r="AL394" s="5"/>
      <c r="AM394" s="5"/>
    </row>
    <row r="395" spans="1:39" ht="15.75" customHeight="1" x14ac:dyDescent="0.2">
      <c r="A395" s="5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5"/>
      <c r="AF395" s="5"/>
      <c r="AG395" s="5"/>
      <c r="AH395" s="5"/>
      <c r="AI395" s="5"/>
      <c r="AJ395" s="5"/>
      <c r="AK395" s="5"/>
      <c r="AL395" s="5"/>
      <c r="AM395" s="5"/>
    </row>
    <row r="396" spans="1:39" ht="15.75" customHeight="1" x14ac:dyDescent="0.2">
      <c r="A396" s="5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5"/>
      <c r="AF396" s="5"/>
      <c r="AG396" s="5"/>
      <c r="AH396" s="5"/>
      <c r="AI396" s="5"/>
      <c r="AJ396" s="5"/>
      <c r="AK396" s="5"/>
      <c r="AL396" s="5"/>
      <c r="AM396" s="5"/>
    </row>
    <row r="397" spans="1:39" ht="15.75" customHeight="1" x14ac:dyDescent="0.2">
      <c r="A397" s="5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5"/>
      <c r="AF397" s="5"/>
      <c r="AG397" s="5"/>
      <c r="AH397" s="5"/>
      <c r="AI397" s="5"/>
      <c r="AJ397" s="5"/>
      <c r="AK397" s="5"/>
      <c r="AL397" s="5"/>
      <c r="AM397" s="5"/>
    </row>
    <row r="398" spans="1:39" ht="15.75" customHeight="1" x14ac:dyDescent="0.2">
      <c r="A398" s="5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5"/>
      <c r="AF398" s="5"/>
      <c r="AG398" s="5"/>
      <c r="AH398" s="5"/>
      <c r="AI398" s="5"/>
      <c r="AJ398" s="5"/>
      <c r="AK398" s="5"/>
      <c r="AL398" s="5"/>
      <c r="AM398" s="5"/>
    </row>
    <row r="399" spans="1:39" ht="15.75" customHeight="1" x14ac:dyDescent="0.2">
      <c r="A399" s="5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5"/>
      <c r="AF399" s="5"/>
      <c r="AG399" s="5"/>
      <c r="AH399" s="5"/>
      <c r="AI399" s="5"/>
      <c r="AJ399" s="5"/>
      <c r="AK399" s="5"/>
      <c r="AL399" s="5"/>
      <c r="AM399" s="5"/>
    </row>
    <row r="400" spans="1:39" ht="15.75" customHeight="1" x14ac:dyDescent="0.2">
      <c r="A400" s="5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5"/>
      <c r="AF400" s="5"/>
      <c r="AG400" s="5"/>
      <c r="AH400" s="5"/>
      <c r="AI400" s="5"/>
      <c r="AJ400" s="5"/>
      <c r="AK400" s="5"/>
      <c r="AL400" s="5"/>
      <c r="AM400" s="5"/>
    </row>
    <row r="401" spans="1:39" ht="15.75" customHeight="1" x14ac:dyDescent="0.2">
      <c r="A401" s="5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5"/>
      <c r="AF401" s="5"/>
      <c r="AG401" s="5"/>
      <c r="AH401" s="5"/>
      <c r="AI401" s="5"/>
      <c r="AJ401" s="5"/>
      <c r="AK401" s="5"/>
      <c r="AL401" s="5"/>
      <c r="AM401" s="5"/>
    </row>
    <row r="402" spans="1:39" ht="15.75" customHeight="1" x14ac:dyDescent="0.2">
      <c r="A402" s="5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5"/>
      <c r="AF402" s="5"/>
      <c r="AG402" s="5"/>
      <c r="AH402" s="5"/>
      <c r="AI402" s="5"/>
      <c r="AJ402" s="5"/>
      <c r="AK402" s="5"/>
      <c r="AL402" s="5"/>
      <c r="AM402" s="5"/>
    </row>
    <row r="403" spans="1:39" ht="15.75" customHeight="1" x14ac:dyDescent="0.2">
      <c r="A403" s="5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5"/>
      <c r="AF403" s="5"/>
      <c r="AG403" s="5"/>
      <c r="AH403" s="5"/>
      <c r="AI403" s="5"/>
      <c r="AJ403" s="5"/>
      <c r="AK403" s="5"/>
      <c r="AL403" s="5"/>
      <c r="AM403" s="5"/>
    </row>
    <row r="404" spans="1:39" ht="15.75" customHeight="1" x14ac:dyDescent="0.2">
      <c r="A404" s="5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5"/>
      <c r="AF404" s="5"/>
      <c r="AG404" s="5"/>
      <c r="AH404" s="5"/>
      <c r="AI404" s="5"/>
      <c r="AJ404" s="5"/>
      <c r="AK404" s="5"/>
      <c r="AL404" s="5"/>
      <c r="AM404" s="5"/>
    </row>
    <row r="405" spans="1:39" ht="15.75" customHeight="1" x14ac:dyDescent="0.2">
      <c r="A405" s="5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5"/>
      <c r="AF405" s="5"/>
      <c r="AG405" s="5"/>
      <c r="AH405" s="5"/>
      <c r="AI405" s="5"/>
      <c r="AJ405" s="5"/>
      <c r="AK405" s="5"/>
      <c r="AL405" s="5"/>
      <c r="AM405" s="5"/>
    </row>
    <row r="406" spans="1:39" ht="15.75" customHeight="1" x14ac:dyDescent="0.2">
      <c r="A406" s="5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5"/>
      <c r="AF406" s="5"/>
      <c r="AG406" s="5"/>
      <c r="AH406" s="5"/>
      <c r="AI406" s="5"/>
      <c r="AJ406" s="5"/>
      <c r="AK406" s="5"/>
      <c r="AL406" s="5"/>
      <c r="AM406" s="5"/>
    </row>
    <row r="407" spans="1:39" ht="15.75" customHeight="1" x14ac:dyDescent="0.2">
      <c r="A407" s="5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5"/>
      <c r="AF407" s="5"/>
      <c r="AG407" s="5"/>
      <c r="AH407" s="5"/>
      <c r="AI407" s="5"/>
      <c r="AJ407" s="5"/>
      <c r="AK407" s="5"/>
      <c r="AL407" s="5"/>
      <c r="AM407" s="5"/>
    </row>
    <row r="408" spans="1:39" ht="15.75" customHeight="1" x14ac:dyDescent="0.2">
      <c r="A408" s="5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5"/>
      <c r="AF408" s="5"/>
      <c r="AG408" s="5"/>
      <c r="AH408" s="5"/>
      <c r="AI408" s="5"/>
      <c r="AJ408" s="5"/>
      <c r="AK408" s="5"/>
      <c r="AL408" s="5"/>
      <c r="AM408" s="5"/>
    </row>
    <row r="409" spans="1:39" ht="15.75" customHeight="1" x14ac:dyDescent="0.2">
      <c r="A409" s="5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5"/>
      <c r="AF409" s="5"/>
      <c r="AG409" s="5"/>
      <c r="AH409" s="5"/>
      <c r="AI409" s="5"/>
      <c r="AJ409" s="5"/>
      <c r="AK409" s="5"/>
      <c r="AL409" s="5"/>
      <c r="AM409" s="5"/>
    </row>
    <row r="410" spans="1:39" ht="15.75" customHeight="1" x14ac:dyDescent="0.2">
      <c r="A410" s="5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5"/>
      <c r="AF410" s="5"/>
      <c r="AG410" s="5"/>
      <c r="AH410" s="5"/>
      <c r="AI410" s="5"/>
      <c r="AJ410" s="5"/>
      <c r="AK410" s="5"/>
      <c r="AL410" s="5"/>
      <c r="AM410" s="5"/>
    </row>
    <row r="411" spans="1:39" ht="15.75" customHeight="1" x14ac:dyDescent="0.2">
      <c r="A411" s="5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5"/>
      <c r="AF411" s="5"/>
      <c r="AG411" s="5"/>
      <c r="AH411" s="5"/>
      <c r="AI411" s="5"/>
      <c r="AJ411" s="5"/>
      <c r="AK411" s="5"/>
      <c r="AL411" s="5"/>
      <c r="AM411" s="5"/>
    </row>
    <row r="412" spans="1:39" ht="15.75" customHeight="1" x14ac:dyDescent="0.2">
      <c r="A412" s="5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5"/>
      <c r="AF412" s="5"/>
      <c r="AG412" s="5"/>
      <c r="AH412" s="5"/>
      <c r="AI412" s="5"/>
      <c r="AJ412" s="5"/>
      <c r="AK412" s="5"/>
      <c r="AL412" s="5"/>
      <c r="AM412" s="5"/>
    </row>
    <row r="413" spans="1:39" ht="15.75" customHeight="1" x14ac:dyDescent="0.2">
      <c r="A413" s="5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5"/>
      <c r="AF413" s="5"/>
      <c r="AG413" s="5"/>
      <c r="AH413" s="5"/>
      <c r="AI413" s="5"/>
      <c r="AJ413" s="5"/>
      <c r="AK413" s="5"/>
      <c r="AL413" s="5"/>
      <c r="AM413" s="5"/>
    </row>
    <row r="414" spans="1:39" ht="15.75" customHeight="1" x14ac:dyDescent="0.2">
      <c r="A414" s="5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5"/>
      <c r="AF414" s="5"/>
      <c r="AG414" s="5"/>
      <c r="AH414" s="5"/>
      <c r="AI414" s="5"/>
      <c r="AJ414" s="5"/>
      <c r="AK414" s="5"/>
      <c r="AL414" s="5"/>
      <c r="AM414" s="5"/>
    </row>
    <row r="415" spans="1:39" ht="15.75" customHeight="1" x14ac:dyDescent="0.2">
      <c r="A415" s="5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5"/>
      <c r="AF415" s="5"/>
      <c r="AG415" s="5"/>
      <c r="AH415" s="5"/>
      <c r="AI415" s="5"/>
      <c r="AJ415" s="5"/>
      <c r="AK415" s="5"/>
      <c r="AL415" s="5"/>
      <c r="AM415" s="5"/>
    </row>
    <row r="416" spans="1:39" ht="15.75" customHeight="1" x14ac:dyDescent="0.2">
      <c r="A416" s="5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5"/>
      <c r="AF416" s="5"/>
      <c r="AG416" s="5"/>
      <c r="AH416" s="5"/>
      <c r="AI416" s="5"/>
      <c r="AJ416" s="5"/>
      <c r="AK416" s="5"/>
      <c r="AL416" s="5"/>
      <c r="AM416" s="5"/>
    </row>
    <row r="417" spans="1:39" ht="15.75" customHeight="1" x14ac:dyDescent="0.2">
      <c r="A417" s="5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5"/>
      <c r="AF417" s="5"/>
      <c r="AG417" s="5"/>
      <c r="AH417" s="5"/>
      <c r="AI417" s="5"/>
      <c r="AJ417" s="5"/>
      <c r="AK417" s="5"/>
      <c r="AL417" s="5"/>
      <c r="AM417" s="5"/>
    </row>
    <row r="418" spans="1:39" ht="15.75" customHeight="1" x14ac:dyDescent="0.2">
      <c r="A418" s="5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5"/>
      <c r="AF418" s="5"/>
      <c r="AG418" s="5"/>
      <c r="AH418" s="5"/>
      <c r="AI418" s="5"/>
      <c r="AJ418" s="5"/>
      <c r="AK418" s="5"/>
      <c r="AL418" s="5"/>
      <c r="AM418" s="5"/>
    </row>
    <row r="419" spans="1:39" ht="15.75" customHeight="1" x14ac:dyDescent="0.2">
      <c r="A419" s="5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5"/>
      <c r="AF419" s="5"/>
      <c r="AG419" s="5"/>
      <c r="AH419" s="5"/>
      <c r="AI419" s="5"/>
      <c r="AJ419" s="5"/>
      <c r="AK419" s="5"/>
      <c r="AL419" s="5"/>
      <c r="AM419" s="5"/>
    </row>
    <row r="420" spans="1:39" ht="15.75" customHeight="1" x14ac:dyDescent="0.2">
      <c r="A420" s="5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5"/>
      <c r="AF420" s="5"/>
      <c r="AG420" s="5"/>
      <c r="AH420" s="5"/>
      <c r="AI420" s="5"/>
      <c r="AJ420" s="5"/>
      <c r="AK420" s="5"/>
      <c r="AL420" s="5"/>
      <c r="AM420" s="5"/>
    </row>
    <row r="421" spans="1:39" ht="15.75" customHeight="1" x14ac:dyDescent="0.2">
      <c r="A421" s="5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5"/>
      <c r="AF421" s="5"/>
      <c r="AG421" s="5"/>
      <c r="AH421" s="5"/>
      <c r="AI421" s="5"/>
      <c r="AJ421" s="5"/>
      <c r="AK421" s="5"/>
      <c r="AL421" s="5"/>
      <c r="AM421" s="5"/>
    </row>
    <row r="422" spans="1:39" ht="15.75" customHeight="1" x14ac:dyDescent="0.2">
      <c r="A422" s="5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5"/>
      <c r="AF422" s="5"/>
      <c r="AG422" s="5"/>
      <c r="AH422" s="5"/>
      <c r="AI422" s="5"/>
      <c r="AJ422" s="5"/>
      <c r="AK422" s="5"/>
      <c r="AL422" s="5"/>
      <c r="AM422" s="5"/>
    </row>
    <row r="423" spans="1:39" ht="15.75" customHeight="1" x14ac:dyDescent="0.2">
      <c r="A423" s="5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5"/>
      <c r="AF423" s="5"/>
      <c r="AG423" s="5"/>
      <c r="AH423" s="5"/>
      <c r="AI423" s="5"/>
      <c r="AJ423" s="5"/>
      <c r="AK423" s="5"/>
      <c r="AL423" s="5"/>
      <c r="AM423" s="5"/>
    </row>
    <row r="424" spans="1:39" ht="15.75" customHeight="1" x14ac:dyDescent="0.2">
      <c r="A424" s="5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5"/>
      <c r="AF424" s="5"/>
      <c r="AG424" s="5"/>
      <c r="AH424" s="5"/>
      <c r="AI424" s="5"/>
      <c r="AJ424" s="5"/>
      <c r="AK424" s="5"/>
      <c r="AL424" s="5"/>
      <c r="AM424" s="5"/>
    </row>
    <row r="425" spans="1:39" ht="15.75" customHeight="1" x14ac:dyDescent="0.2">
      <c r="A425" s="5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5"/>
      <c r="AF425" s="5"/>
      <c r="AG425" s="5"/>
      <c r="AH425" s="5"/>
      <c r="AI425" s="5"/>
      <c r="AJ425" s="5"/>
      <c r="AK425" s="5"/>
      <c r="AL425" s="5"/>
      <c r="AM425" s="5"/>
    </row>
    <row r="426" spans="1:39" ht="15.75" customHeight="1" x14ac:dyDescent="0.2">
      <c r="A426" s="5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5"/>
      <c r="AF426" s="5"/>
      <c r="AG426" s="5"/>
      <c r="AH426" s="5"/>
      <c r="AI426" s="5"/>
      <c r="AJ426" s="5"/>
      <c r="AK426" s="5"/>
      <c r="AL426" s="5"/>
      <c r="AM426" s="5"/>
    </row>
    <row r="427" spans="1:39" ht="15.75" customHeight="1" x14ac:dyDescent="0.2">
      <c r="A427" s="5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5"/>
      <c r="AF427" s="5"/>
      <c r="AG427" s="5"/>
      <c r="AH427" s="5"/>
      <c r="AI427" s="5"/>
      <c r="AJ427" s="5"/>
      <c r="AK427" s="5"/>
      <c r="AL427" s="5"/>
      <c r="AM427" s="5"/>
    </row>
    <row r="428" spans="1:39" ht="15.75" customHeight="1" x14ac:dyDescent="0.2">
      <c r="A428" s="5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5"/>
      <c r="AF428" s="5"/>
      <c r="AG428" s="5"/>
      <c r="AH428" s="5"/>
      <c r="AI428" s="5"/>
      <c r="AJ428" s="5"/>
      <c r="AK428" s="5"/>
      <c r="AL428" s="5"/>
      <c r="AM428" s="5"/>
    </row>
    <row r="429" spans="1:39" ht="15.75" customHeight="1" x14ac:dyDescent="0.2">
      <c r="A429" s="5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5"/>
      <c r="AF429" s="5"/>
      <c r="AG429" s="5"/>
      <c r="AH429" s="5"/>
      <c r="AI429" s="5"/>
      <c r="AJ429" s="5"/>
      <c r="AK429" s="5"/>
      <c r="AL429" s="5"/>
      <c r="AM429" s="5"/>
    </row>
    <row r="430" spans="1:39" ht="15.75" customHeight="1" x14ac:dyDescent="0.2">
      <c r="A430" s="5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5"/>
      <c r="AF430" s="5"/>
      <c r="AG430" s="5"/>
      <c r="AH430" s="5"/>
      <c r="AI430" s="5"/>
      <c r="AJ430" s="5"/>
      <c r="AK430" s="5"/>
      <c r="AL430" s="5"/>
      <c r="AM430" s="5"/>
    </row>
    <row r="431" spans="1:39" ht="15.75" customHeight="1" x14ac:dyDescent="0.2">
      <c r="A431" s="5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5"/>
      <c r="AF431" s="5"/>
      <c r="AG431" s="5"/>
      <c r="AH431" s="5"/>
      <c r="AI431" s="5"/>
      <c r="AJ431" s="5"/>
      <c r="AK431" s="5"/>
      <c r="AL431" s="5"/>
      <c r="AM431" s="5"/>
    </row>
    <row r="432" spans="1:39" ht="15.75" customHeight="1" x14ac:dyDescent="0.2">
      <c r="A432" s="5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5"/>
      <c r="AF432" s="5"/>
      <c r="AG432" s="5"/>
      <c r="AH432" s="5"/>
      <c r="AI432" s="5"/>
      <c r="AJ432" s="5"/>
      <c r="AK432" s="5"/>
      <c r="AL432" s="5"/>
      <c r="AM432" s="5"/>
    </row>
    <row r="433" spans="1:39" ht="15.75" customHeight="1" x14ac:dyDescent="0.2">
      <c r="A433" s="5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5"/>
      <c r="AF433" s="5"/>
      <c r="AG433" s="5"/>
      <c r="AH433" s="5"/>
      <c r="AI433" s="5"/>
      <c r="AJ433" s="5"/>
      <c r="AK433" s="5"/>
      <c r="AL433" s="5"/>
      <c r="AM433" s="5"/>
    </row>
    <row r="434" spans="1:39" ht="15.75" customHeight="1" x14ac:dyDescent="0.2">
      <c r="A434" s="5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5"/>
      <c r="AF434" s="5"/>
      <c r="AG434" s="5"/>
      <c r="AH434" s="5"/>
      <c r="AI434" s="5"/>
      <c r="AJ434" s="5"/>
      <c r="AK434" s="5"/>
      <c r="AL434" s="5"/>
      <c r="AM434" s="5"/>
    </row>
    <row r="435" spans="1:39" ht="15.75" customHeight="1" x14ac:dyDescent="0.2">
      <c r="A435" s="5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5"/>
      <c r="AF435" s="5"/>
      <c r="AG435" s="5"/>
      <c r="AH435" s="5"/>
      <c r="AI435" s="5"/>
      <c r="AJ435" s="5"/>
      <c r="AK435" s="5"/>
      <c r="AL435" s="5"/>
      <c r="AM435" s="5"/>
    </row>
    <row r="436" spans="1:39" ht="15.75" customHeight="1" x14ac:dyDescent="0.2">
      <c r="A436" s="5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5"/>
      <c r="AF436" s="5"/>
      <c r="AG436" s="5"/>
      <c r="AH436" s="5"/>
      <c r="AI436" s="5"/>
      <c r="AJ436" s="5"/>
      <c r="AK436" s="5"/>
      <c r="AL436" s="5"/>
      <c r="AM436" s="5"/>
    </row>
    <row r="437" spans="1:39" ht="15.75" customHeight="1" x14ac:dyDescent="0.2">
      <c r="A437" s="5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5"/>
      <c r="AF437" s="5"/>
      <c r="AG437" s="5"/>
      <c r="AH437" s="5"/>
      <c r="AI437" s="5"/>
      <c r="AJ437" s="5"/>
      <c r="AK437" s="5"/>
      <c r="AL437" s="5"/>
      <c r="AM437" s="5"/>
    </row>
    <row r="438" spans="1:39" ht="15.75" customHeight="1" x14ac:dyDescent="0.2">
      <c r="A438" s="5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5"/>
      <c r="AF438" s="5"/>
      <c r="AG438" s="5"/>
      <c r="AH438" s="5"/>
      <c r="AI438" s="5"/>
      <c r="AJ438" s="5"/>
      <c r="AK438" s="5"/>
      <c r="AL438" s="5"/>
      <c r="AM438" s="5"/>
    </row>
    <row r="439" spans="1:39" ht="15.75" customHeight="1" x14ac:dyDescent="0.2">
      <c r="A439" s="5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5"/>
      <c r="AF439" s="5"/>
      <c r="AG439" s="5"/>
      <c r="AH439" s="5"/>
      <c r="AI439" s="5"/>
      <c r="AJ439" s="5"/>
      <c r="AK439" s="5"/>
      <c r="AL439" s="5"/>
      <c r="AM439" s="5"/>
    </row>
    <row r="440" spans="1:39" ht="15.75" customHeight="1" x14ac:dyDescent="0.2">
      <c r="A440" s="5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5"/>
      <c r="AF440" s="5"/>
      <c r="AG440" s="5"/>
      <c r="AH440" s="5"/>
      <c r="AI440" s="5"/>
      <c r="AJ440" s="5"/>
      <c r="AK440" s="5"/>
      <c r="AL440" s="5"/>
      <c r="AM440" s="5"/>
    </row>
    <row r="441" spans="1:39" ht="15.75" customHeight="1" x14ac:dyDescent="0.2">
      <c r="A441" s="5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5"/>
      <c r="AF441" s="5"/>
      <c r="AG441" s="5"/>
      <c r="AH441" s="5"/>
      <c r="AI441" s="5"/>
      <c r="AJ441" s="5"/>
      <c r="AK441" s="5"/>
      <c r="AL441" s="5"/>
      <c r="AM441" s="5"/>
    </row>
    <row r="442" spans="1:39" ht="15.75" customHeight="1" x14ac:dyDescent="0.2">
      <c r="A442" s="5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5"/>
      <c r="AF442" s="5"/>
      <c r="AG442" s="5"/>
      <c r="AH442" s="5"/>
      <c r="AI442" s="5"/>
      <c r="AJ442" s="5"/>
      <c r="AK442" s="5"/>
      <c r="AL442" s="5"/>
      <c r="AM442" s="5"/>
    </row>
    <row r="443" spans="1:39" ht="15.75" customHeight="1" x14ac:dyDescent="0.2">
      <c r="A443" s="5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5"/>
      <c r="AF443" s="5"/>
      <c r="AG443" s="5"/>
      <c r="AH443" s="5"/>
      <c r="AI443" s="5"/>
      <c r="AJ443" s="5"/>
      <c r="AK443" s="5"/>
      <c r="AL443" s="5"/>
      <c r="AM443" s="5"/>
    </row>
    <row r="444" spans="1:39" ht="15.75" customHeight="1" x14ac:dyDescent="0.2">
      <c r="A444" s="5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5"/>
      <c r="AF444" s="5"/>
      <c r="AG444" s="5"/>
      <c r="AH444" s="5"/>
      <c r="AI444" s="5"/>
      <c r="AJ444" s="5"/>
      <c r="AK444" s="5"/>
      <c r="AL444" s="5"/>
      <c r="AM444" s="5"/>
    </row>
    <row r="445" spans="1:39" ht="15.75" customHeight="1" x14ac:dyDescent="0.2">
      <c r="A445" s="5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5"/>
      <c r="AF445" s="5"/>
      <c r="AG445" s="5"/>
      <c r="AH445" s="5"/>
      <c r="AI445" s="5"/>
      <c r="AJ445" s="5"/>
      <c r="AK445" s="5"/>
      <c r="AL445" s="5"/>
      <c r="AM445" s="5"/>
    </row>
    <row r="446" spans="1:39" ht="15.75" customHeight="1" x14ac:dyDescent="0.2">
      <c r="A446" s="5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5"/>
      <c r="AF446" s="5"/>
      <c r="AG446" s="5"/>
      <c r="AH446" s="5"/>
      <c r="AI446" s="5"/>
      <c r="AJ446" s="5"/>
      <c r="AK446" s="5"/>
      <c r="AL446" s="5"/>
      <c r="AM446" s="5"/>
    </row>
    <row r="447" spans="1:39" ht="15.75" customHeight="1" x14ac:dyDescent="0.2">
      <c r="A447" s="5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5"/>
      <c r="AF447" s="5"/>
      <c r="AG447" s="5"/>
      <c r="AH447" s="5"/>
      <c r="AI447" s="5"/>
      <c r="AJ447" s="5"/>
      <c r="AK447" s="5"/>
      <c r="AL447" s="5"/>
      <c r="AM447" s="5"/>
    </row>
    <row r="448" spans="1:39" ht="15.75" customHeight="1" x14ac:dyDescent="0.2">
      <c r="A448" s="5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5"/>
      <c r="AF448" s="5"/>
      <c r="AG448" s="5"/>
      <c r="AH448" s="5"/>
      <c r="AI448" s="5"/>
      <c r="AJ448" s="5"/>
      <c r="AK448" s="5"/>
      <c r="AL448" s="5"/>
      <c r="AM448" s="5"/>
    </row>
    <row r="449" spans="1:39" ht="15.75" customHeight="1" x14ac:dyDescent="0.2">
      <c r="A449" s="5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5"/>
      <c r="AF449" s="5"/>
      <c r="AG449" s="5"/>
      <c r="AH449" s="5"/>
      <c r="AI449" s="5"/>
      <c r="AJ449" s="5"/>
      <c r="AK449" s="5"/>
      <c r="AL449" s="5"/>
      <c r="AM449" s="5"/>
    </row>
    <row r="450" spans="1:39" ht="15.75" customHeight="1" x14ac:dyDescent="0.2">
      <c r="A450" s="5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5"/>
      <c r="AF450" s="5"/>
      <c r="AG450" s="5"/>
      <c r="AH450" s="5"/>
      <c r="AI450" s="5"/>
      <c r="AJ450" s="5"/>
      <c r="AK450" s="5"/>
      <c r="AL450" s="5"/>
      <c r="AM450" s="5"/>
    </row>
    <row r="451" spans="1:39" ht="15.75" customHeight="1" x14ac:dyDescent="0.2">
      <c r="A451" s="5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5"/>
      <c r="AF451" s="5"/>
      <c r="AG451" s="5"/>
      <c r="AH451" s="5"/>
      <c r="AI451" s="5"/>
      <c r="AJ451" s="5"/>
      <c r="AK451" s="5"/>
      <c r="AL451" s="5"/>
      <c r="AM451" s="5"/>
    </row>
    <row r="452" spans="1:39" ht="15.75" customHeight="1" x14ac:dyDescent="0.2">
      <c r="A452" s="5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5"/>
      <c r="AF452" s="5"/>
      <c r="AG452" s="5"/>
      <c r="AH452" s="5"/>
      <c r="AI452" s="5"/>
      <c r="AJ452" s="5"/>
      <c r="AK452" s="5"/>
      <c r="AL452" s="5"/>
      <c r="AM452" s="5"/>
    </row>
    <row r="453" spans="1:39" ht="15.75" customHeight="1" x14ac:dyDescent="0.2">
      <c r="A453" s="5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5"/>
      <c r="AF453" s="5"/>
      <c r="AG453" s="5"/>
      <c r="AH453" s="5"/>
      <c r="AI453" s="5"/>
      <c r="AJ453" s="5"/>
      <c r="AK453" s="5"/>
      <c r="AL453" s="5"/>
      <c r="AM453" s="5"/>
    </row>
    <row r="454" spans="1:39" ht="15.75" customHeight="1" x14ac:dyDescent="0.2">
      <c r="A454" s="5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5"/>
      <c r="AF454" s="5"/>
      <c r="AG454" s="5"/>
      <c r="AH454" s="5"/>
      <c r="AI454" s="5"/>
      <c r="AJ454" s="5"/>
      <c r="AK454" s="5"/>
      <c r="AL454" s="5"/>
      <c r="AM454" s="5"/>
    </row>
    <row r="455" spans="1:39" ht="15.75" customHeight="1" x14ac:dyDescent="0.2">
      <c r="A455" s="5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5"/>
      <c r="AF455" s="5"/>
      <c r="AG455" s="5"/>
      <c r="AH455" s="5"/>
      <c r="AI455" s="5"/>
      <c r="AJ455" s="5"/>
      <c r="AK455" s="5"/>
      <c r="AL455" s="5"/>
      <c r="AM455" s="5"/>
    </row>
    <row r="456" spans="1:39" ht="15.75" customHeight="1" x14ac:dyDescent="0.2">
      <c r="A456" s="5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5"/>
      <c r="AF456" s="5"/>
      <c r="AG456" s="5"/>
      <c r="AH456" s="5"/>
      <c r="AI456" s="5"/>
      <c r="AJ456" s="5"/>
      <c r="AK456" s="5"/>
      <c r="AL456" s="5"/>
      <c r="AM456" s="5"/>
    </row>
    <row r="457" spans="1:39" ht="15.75" customHeight="1" x14ac:dyDescent="0.2">
      <c r="A457" s="5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5"/>
      <c r="AF457" s="5"/>
      <c r="AG457" s="5"/>
      <c r="AH457" s="5"/>
      <c r="AI457" s="5"/>
      <c r="AJ457" s="5"/>
      <c r="AK457" s="5"/>
      <c r="AL457" s="5"/>
      <c r="AM457" s="5"/>
    </row>
    <row r="458" spans="1:39" ht="15.75" customHeight="1" x14ac:dyDescent="0.2">
      <c r="A458" s="5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5"/>
      <c r="AF458" s="5"/>
      <c r="AG458" s="5"/>
      <c r="AH458" s="5"/>
      <c r="AI458" s="5"/>
      <c r="AJ458" s="5"/>
      <c r="AK458" s="5"/>
      <c r="AL458" s="5"/>
      <c r="AM458" s="5"/>
    </row>
    <row r="459" spans="1:39" ht="15.75" customHeight="1" x14ac:dyDescent="0.2">
      <c r="A459" s="5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5"/>
      <c r="AF459" s="5"/>
      <c r="AG459" s="5"/>
      <c r="AH459" s="5"/>
      <c r="AI459" s="5"/>
      <c r="AJ459" s="5"/>
      <c r="AK459" s="5"/>
      <c r="AL459" s="5"/>
      <c r="AM459" s="5"/>
    </row>
    <row r="460" spans="1:39" ht="15.75" customHeight="1" x14ac:dyDescent="0.2">
      <c r="A460" s="5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5"/>
      <c r="AF460" s="5"/>
      <c r="AG460" s="5"/>
      <c r="AH460" s="5"/>
      <c r="AI460" s="5"/>
      <c r="AJ460" s="5"/>
      <c r="AK460" s="5"/>
      <c r="AL460" s="5"/>
      <c r="AM460" s="5"/>
    </row>
    <row r="461" spans="1:39" ht="15.75" customHeight="1" x14ac:dyDescent="0.2">
      <c r="A461" s="5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5"/>
      <c r="AF461" s="5"/>
      <c r="AG461" s="5"/>
      <c r="AH461" s="5"/>
      <c r="AI461" s="5"/>
      <c r="AJ461" s="5"/>
      <c r="AK461" s="5"/>
      <c r="AL461" s="5"/>
      <c r="AM461" s="5"/>
    </row>
    <row r="462" spans="1:39" ht="15.75" customHeight="1" x14ac:dyDescent="0.2">
      <c r="A462" s="5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5"/>
      <c r="AF462" s="5"/>
      <c r="AG462" s="5"/>
      <c r="AH462" s="5"/>
      <c r="AI462" s="5"/>
      <c r="AJ462" s="5"/>
      <c r="AK462" s="5"/>
      <c r="AL462" s="5"/>
      <c r="AM462" s="5"/>
    </row>
    <row r="463" spans="1:39" ht="15.75" customHeight="1" x14ac:dyDescent="0.2">
      <c r="A463" s="5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5"/>
      <c r="AF463" s="5"/>
      <c r="AG463" s="5"/>
      <c r="AH463" s="5"/>
      <c r="AI463" s="5"/>
      <c r="AJ463" s="5"/>
      <c r="AK463" s="5"/>
      <c r="AL463" s="5"/>
      <c r="AM463" s="5"/>
    </row>
    <row r="464" spans="1:39" ht="15.75" customHeight="1" x14ac:dyDescent="0.2">
      <c r="A464" s="5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5"/>
      <c r="AF464" s="5"/>
      <c r="AG464" s="5"/>
      <c r="AH464" s="5"/>
      <c r="AI464" s="5"/>
      <c r="AJ464" s="5"/>
      <c r="AK464" s="5"/>
      <c r="AL464" s="5"/>
      <c r="AM464" s="5"/>
    </row>
    <row r="465" spans="1:39" ht="15.75" customHeight="1" x14ac:dyDescent="0.2">
      <c r="A465" s="5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5"/>
      <c r="AF465" s="5"/>
      <c r="AG465" s="5"/>
      <c r="AH465" s="5"/>
      <c r="AI465" s="5"/>
      <c r="AJ465" s="5"/>
      <c r="AK465" s="5"/>
      <c r="AL465" s="5"/>
      <c r="AM465" s="5"/>
    </row>
    <row r="466" spans="1:39" ht="15.75" customHeight="1" x14ac:dyDescent="0.2">
      <c r="A466" s="5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5"/>
      <c r="AF466" s="5"/>
      <c r="AG466" s="5"/>
      <c r="AH466" s="5"/>
      <c r="AI466" s="5"/>
      <c r="AJ466" s="5"/>
      <c r="AK466" s="5"/>
      <c r="AL466" s="5"/>
      <c r="AM466" s="5"/>
    </row>
    <row r="467" spans="1:39" ht="15.75" customHeight="1" x14ac:dyDescent="0.2">
      <c r="A467" s="5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5"/>
      <c r="AF467" s="5"/>
      <c r="AG467" s="5"/>
      <c r="AH467" s="5"/>
      <c r="AI467" s="5"/>
      <c r="AJ467" s="5"/>
      <c r="AK467" s="5"/>
      <c r="AL467" s="5"/>
      <c r="AM467" s="5"/>
    </row>
    <row r="468" spans="1:39" ht="15.75" customHeight="1" x14ac:dyDescent="0.2">
      <c r="A468" s="5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5"/>
      <c r="AF468" s="5"/>
      <c r="AG468" s="5"/>
      <c r="AH468" s="5"/>
      <c r="AI468" s="5"/>
      <c r="AJ468" s="5"/>
      <c r="AK468" s="5"/>
      <c r="AL468" s="5"/>
      <c r="AM468" s="5"/>
    </row>
    <row r="469" spans="1:39" ht="15.75" customHeight="1" x14ac:dyDescent="0.2">
      <c r="A469" s="5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5"/>
      <c r="AF469" s="5"/>
      <c r="AG469" s="5"/>
      <c r="AH469" s="5"/>
      <c r="AI469" s="5"/>
      <c r="AJ469" s="5"/>
      <c r="AK469" s="5"/>
      <c r="AL469" s="5"/>
      <c r="AM469" s="5"/>
    </row>
    <row r="470" spans="1:39" ht="15.75" customHeight="1" x14ac:dyDescent="0.2">
      <c r="A470" s="5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5"/>
      <c r="AF470" s="5"/>
      <c r="AG470" s="5"/>
      <c r="AH470" s="5"/>
      <c r="AI470" s="5"/>
      <c r="AJ470" s="5"/>
      <c r="AK470" s="5"/>
      <c r="AL470" s="5"/>
      <c r="AM470" s="5"/>
    </row>
    <row r="471" spans="1:39" ht="15.75" customHeight="1" x14ac:dyDescent="0.2">
      <c r="A471" s="5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5"/>
      <c r="AF471" s="5"/>
      <c r="AG471" s="5"/>
      <c r="AH471" s="5"/>
      <c r="AI471" s="5"/>
      <c r="AJ471" s="5"/>
      <c r="AK471" s="5"/>
      <c r="AL471" s="5"/>
      <c r="AM471" s="5"/>
    </row>
    <row r="472" spans="1:39" ht="15.75" customHeight="1" x14ac:dyDescent="0.2">
      <c r="A472" s="5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5"/>
      <c r="AF472" s="5"/>
      <c r="AG472" s="5"/>
      <c r="AH472" s="5"/>
      <c r="AI472" s="5"/>
      <c r="AJ472" s="5"/>
      <c r="AK472" s="5"/>
      <c r="AL472" s="5"/>
      <c r="AM472" s="5"/>
    </row>
    <row r="473" spans="1:39" ht="15.75" customHeight="1" x14ac:dyDescent="0.2">
      <c r="A473" s="5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5"/>
      <c r="AF473" s="5"/>
      <c r="AG473" s="5"/>
      <c r="AH473" s="5"/>
      <c r="AI473" s="5"/>
      <c r="AJ473" s="5"/>
      <c r="AK473" s="5"/>
      <c r="AL473" s="5"/>
      <c r="AM473" s="5"/>
    </row>
    <row r="474" spans="1:39" ht="15.75" customHeight="1" x14ac:dyDescent="0.2">
      <c r="A474" s="5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5"/>
      <c r="AF474" s="5"/>
      <c r="AG474" s="5"/>
      <c r="AH474" s="5"/>
      <c r="AI474" s="5"/>
      <c r="AJ474" s="5"/>
      <c r="AK474" s="5"/>
      <c r="AL474" s="5"/>
      <c r="AM474" s="5"/>
    </row>
    <row r="475" spans="1:39" ht="15.75" customHeight="1" x14ac:dyDescent="0.2">
      <c r="A475" s="5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5"/>
      <c r="AF475" s="5"/>
      <c r="AG475" s="5"/>
      <c r="AH475" s="5"/>
      <c r="AI475" s="5"/>
      <c r="AJ475" s="5"/>
      <c r="AK475" s="5"/>
      <c r="AL475" s="5"/>
      <c r="AM475" s="5"/>
    </row>
    <row r="476" spans="1:39" ht="15.75" customHeight="1" x14ac:dyDescent="0.2">
      <c r="A476" s="5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5"/>
      <c r="AF476" s="5"/>
      <c r="AG476" s="5"/>
      <c r="AH476" s="5"/>
      <c r="AI476" s="5"/>
      <c r="AJ476" s="5"/>
      <c r="AK476" s="5"/>
      <c r="AL476" s="5"/>
      <c r="AM476" s="5"/>
    </row>
    <row r="477" spans="1:39" ht="15.75" customHeight="1" x14ac:dyDescent="0.2">
      <c r="A477" s="5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5"/>
      <c r="AF477" s="5"/>
      <c r="AG477" s="5"/>
      <c r="AH477" s="5"/>
      <c r="AI477" s="5"/>
      <c r="AJ477" s="5"/>
      <c r="AK477" s="5"/>
      <c r="AL477" s="5"/>
      <c r="AM477" s="5"/>
    </row>
    <row r="478" spans="1:39" ht="15.75" customHeight="1" x14ac:dyDescent="0.2">
      <c r="A478" s="5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5"/>
      <c r="AF478" s="5"/>
      <c r="AG478" s="5"/>
      <c r="AH478" s="5"/>
      <c r="AI478" s="5"/>
      <c r="AJ478" s="5"/>
      <c r="AK478" s="5"/>
      <c r="AL478" s="5"/>
      <c r="AM478" s="5"/>
    </row>
    <row r="479" spans="1:39" ht="15.75" customHeight="1" x14ac:dyDescent="0.2">
      <c r="A479" s="5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5"/>
      <c r="AF479" s="5"/>
      <c r="AG479" s="5"/>
      <c r="AH479" s="5"/>
      <c r="AI479" s="5"/>
      <c r="AJ479" s="5"/>
      <c r="AK479" s="5"/>
      <c r="AL479" s="5"/>
      <c r="AM479" s="5"/>
    </row>
    <row r="480" spans="1:39" ht="15.75" customHeight="1" x14ac:dyDescent="0.2">
      <c r="A480" s="5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5"/>
      <c r="AF480" s="5"/>
      <c r="AG480" s="5"/>
      <c r="AH480" s="5"/>
      <c r="AI480" s="5"/>
      <c r="AJ480" s="5"/>
      <c r="AK480" s="5"/>
      <c r="AL480" s="5"/>
      <c r="AM480" s="5"/>
    </row>
    <row r="481" spans="1:39" ht="15.75" customHeight="1" x14ac:dyDescent="0.2">
      <c r="A481" s="5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5"/>
      <c r="AF481" s="5"/>
      <c r="AG481" s="5"/>
      <c r="AH481" s="5"/>
      <c r="AI481" s="5"/>
      <c r="AJ481" s="5"/>
      <c r="AK481" s="5"/>
      <c r="AL481" s="5"/>
      <c r="AM481" s="5"/>
    </row>
    <row r="482" spans="1:39" ht="15.75" customHeight="1" x14ac:dyDescent="0.2">
      <c r="A482" s="5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5"/>
      <c r="AF482" s="5"/>
      <c r="AG482" s="5"/>
      <c r="AH482" s="5"/>
      <c r="AI482" s="5"/>
      <c r="AJ482" s="5"/>
      <c r="AK482" s="5"/>
      <c r="AL482" s="5"/>
      <c r="AM482" s="5"/>
    </row>
    <row r="483" spans="1:39" ht="15.75" customHeight="1" x14ac:dyDescent="0.2">
      <c r="A483" s="5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5"/>
      <c r="AF483" s="5"/>
      <c r="AG483" s="5"/>
      <c r="AH483" s="5"/>
      <c r="AI483" s="5"/>
      <c r="AJ483" s="5"/>
      <c r="AK483" s="5"/>
      <c r="AL483" s="5"/>
      <c r="AM483" s="5"/>
    </row>
    <row r="484" spans="1:39" ht="15.75" customHeight="1" x14ac:dyDescent="0.2">
      <c r="A484" s="5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5"/>
      <c r="AF484" s="5"/>
      <c r="AG484" s="5"/>
      <c r="AH484" s="5"/>
      <c r="AI484" s="5"/>
      <c r="AJ484" s="5"/>
      <c r="AK484" s="5"/>
      <c r="AL484" s="5"/>
      <c r="AM484" s="5"/>
    </row>
    <row r="485" spans="1:39" ht="15.75" customHeight="1" x14ac:dyDescent="0.2">
      <c r="A485" s="5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5"/>
      <c r="AF485" s="5"/>
      <c r="AG485" s="5"/>
      <c r="AH485" s="5"/>
      <c r="AI485" s="5"/>
      <c r="AJ485" s="5"/>
      <c r="AK485" s="5"/>
      <c r="AL485" s="5"/>
      <c r="AM485" s="5"/>
    </row>
    <row r="486" spans="1:39" ht="15.75" customHeight="1" x14ac:dyDescent="0.2">
      <c r="A486" s="5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5"/>
      <c r="AF486" s="5"/>
      <c r="AG486" s="5"/>
      <c r="AH486" s="5"/>
      <c r="AI486" s="5"/>
      <c r="AJ486" s="5"/>
      <c r="AK486" s="5"/>
      <c r="AL486" s="5"/>
      <c r="AM486" s="5"/>
    </row>
    <row r="487" spans="1:39" ht="15.75" customHeight="1" x14ac:dyDescent="0.2">
      <c r="A487" s="5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5"/>
      <c r="AF487" s="5"/>
      <c r="AG487" s="5"/>
      <c r="AH487" s="5"/>
      <c r="AI487" s="5"/>
      <c r="AJ487" s="5"/>
      <c r="AK487" s="5"/>
      <c r="AL487" s="5"/>
      <c r="AM487" s="5"/>
    </row>
    <row r="488" spans="1:39" ht="15.75" customHeight="1" x14ac:dyDescent="0.2">
      <c r="A488" s="5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5"/>
      <c r="AF488" s="5"/>
      <c r="AG488" s="5"/>
      <c r="AH488" s="5"/>
      <c r="AI488" s="5"/>
      <c r="AJ488" s="5"/>
      <c r="AK488" s="5"/>
      <c r="AL488" s="5"/>
      <c r="AM488" s="5"/>
    </row>
    <row r="489" spans="1:39" ht="15.75" customHeight="1" x14ac:dyDescent="0.2">
      <c r="A489" s="5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5"/>
      <c r="AF489" s="5"/>
      <c r="AG489" s="5"/>
      <c r="AH489" s="5"/>
      <c r="AI489" s="5"/>
      <c r="AJ489" s="5"/>
      <c r="AK489" s="5"/>
      <c r="AL489" s="5"/>
      <c r="AM489" s="5"/>
    </row>
    <row r="490" spans="1:39" ht="15.75" customHeight="1" x14ac:dyDescent="0.2">
      <c r="A490" s="5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5"/>
      <c r="AF490" s="5"/>
      <c r="AG490" s="5"/>
      <c r="AH490" s="5"/>
      <c r="AI490" s="5"/>
      <c r="AJ490" s="5"/>
      <c r="AK490" s="5"/>
      <c r="AL490" s="5"/>
      <c r="AM490" s="5"/>
    </row>
    <row r="491" spans="1:39" ht="15.75" customHeight="1" x14ac:dyDescent="0.2">
      <c r="A491" s="5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5"/>
      <c r="AF491" s="5"/>
      <c r="AG491" s="5"/>
      <c r="AH491" s="5"/>
      <c r="AI491" s="5"/>
      <c r="AJ491" s="5"/>
      <c r="AK491" s="5"/>
      <c r="AL491" s="5"/>
      <c r="AM491" s="5"/>
    </row>
    <row r="492" spans="1:39" ht="15.75" customHeight="1" x14ac:dyDescent="0.2">
      <c r="A492" s="5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5"/>
      <c r="AF492" s="5"/>
      <c r="AG492" s="5"/>
      <c r="AH492" s="5"/>
      <c r="AI492" s="5"/>
      <c r="AJ492" s="5"/>
      <c r="AK492" s="5"/>
      <c r="AL492" s="5"/>
      <c r="AM492" s="5"/>
    </row>
    <row r="493" spans="1:39" ht="15.75" customHeight="1" x14ac:dyDescent="0.2">
      <c r="A493" s="5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5"/>
      <c r="AF493" s="5"/>
      <c r="AG493" s="5"/>
      <c r="AH493" s="5"/>
      <c r="AI493" s="5"/>
      <c r="AJ493" s="5"/>
      <c r="AK493" s="5"/>
      <c r="AL493" s="5"/>
      <c r="AM493" s="5"/>
    </row>
    <row r="494" spans="1:39" ht="15.75" customHeight="1" x14ac:dyDescent="0.2">
      <c r="A494" s="5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5"/>
      <c r="AF494" s="5"/>
      <c r="AG494" s="5"/>
      <c r="AH494" s="5"/>
      <c r="AI494" s="5"/>
      <c r="AJ494" s="5"/>
      <c r="AK494" s="5"/>
      <c r="AL494" s="5"/>
      <c r="AM494" s="5"/>
    </row>
    <row r="495" spans="1:39" ht="15.75" customHeight="1" x14ac:dyDescent="0.2">
      <c r="A495" s="5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5"/>
      <c r="AF495" s="5"/>
      <c r="AG495" s="5"/>
      <c r="AH495" s="5"/>
      <c r="AI495" s="5"/>
      <c r="AJ495" s="5"/>
      <c r="AK495" s="5"/>
      <c r="AL495" s="5"/>
      <c r="AM495" s="5"/>
    </row>
    <row r="496" spans="1:39" ht="15.75" customHeight="1" x14ac:dyDescent="0.2">
      <c r="A496" s="5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5"/>
      <c r="AF496" s="5"/>
      <c r="AG496" s="5"/>
      <c r="AH496" s="5"/>
      <c r="AI496" s="5"/>
      <c r="AJ496" s="5"/>
      <c r="AK496" s="5"/>
      <c r="AL496" s="5"/>
      <c r="AM496" s="5"/>
    </row>
    <row r="497" spans="1:39" ht="15.75" customHeight="1" x14ac:dyDescent="0.2">
      <c r="A497" s="5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5"/>
      <c r="AF497" s="5"/>
      <c r="AG497" s="5"/>
      <c r="AH497" s="5"/>
      <c r="AI497" s="5"/>
      <c r="AJ497" s="5"/>
      <c r="AK497" s="5"/>
      <c r="AL497" s="5"/>
      <c r="AM497" s="5"/>
    </row>
    <row r="498" spans="1:39" ht="15.75" customHeight="1" x14ac:dyDescent="0.2">
      <c r="A498" s="5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5"/>
      <c r="AF498" s="5"/>
      <c r="AG498" s="5"/>
      <c r="AH498" s="5"/>
      <c r="AI498" s="5"/>
      <c r="AJ498" s="5"/>
      <c r="AK498" s="5"/>
      <c r="AL498" s="5"/>
      <c r="AM498" s="5"/>
    </row>
    <row r="499" spans="1:39" ht="15.75" customHeight="1" x14ac:dyDescent="0.2">
      <c r="A499" s="5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5"/>
      <c r="AF499" s="5"/>
      <c r="AG499" s="5"/>
      <c r="AH499" s="5"/>
      <c r="AI499" s="5"/>
      <c r="AJ499" s="5"/>
      <c r="AK499" s="5"/>
      <c r="AL499" s="5"/>
      <c r="AM499" s="5"/>
    </row>
    <row r="500" spans="1:39" ht="15.75" customHeight="1" x14ac:dyDescent="0.2">
      <c r="A500" s="5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5"/>
      <c r="AF500" s="5"/>
      <c r="AG500" s="5"/>
      <c r="AH500" s="5"/>
      <c r="AI500" s="5"/>
      <c r="AJ500" s="5"/>
      <c r="AK500" s="5"/>
      <c r="AL500" s="5"/>
      <c r="AM500" s="5"/>
    </row>
    <row r="501" spans="1:39" ht="15.75" customHeight="1" x14ac:dyDescent="0.2">
      <c r="A501" s="5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5"/>
      <c r="AF501" s="5"/>
      <c r="AG501" s="5"/>
      <c r="AH501" s="5"/>
      <c r="AI501" s="5"/>
      <c r="AJ501" s="5"/>
      <c r="AK501" s="5"/>
      <c r="AL501" s="5"/>
      <c r="AM501" s="5"/>
    </row>
    <row r="502" spans="1:39" ht="15.75" customHeight="1" x14ac:dyDescent="0.2">
      <c r="A502" s="5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5"/>
      <c r="AF502" s="5"/>
      <c r="AG502" s="5"/>
      <c r="AH502" s="5"/>
      <c r="AI502" s="5"/>
      <c r="AJ502" s="5"/>
      <c r="AK502" s="5"/>
      <c r="AL502" s="5"/>
      <c r="AM502" s="5"/>
    </row>
    <row r="503" spans="1:39" ht="15.75" customHeight="1" x14ac:dyDescent="0.2">
      <c r="A503" s="5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5"/>
      <c r="AF503" s="5"/>
      <c r="AG503" s="5"/>
      <c r="AH503" s="5"/>
      <c r="AI503" s="5"/>
      <c r="AJ503" s="5"/>
      <c r="AK503" s="5"/>
      <c r="AL503" s="5"/>
      <c r="AM503" s="5"/>
    </row>
    <row r="504" spans="1:39" ht="15.75" customHeight="1" x14ac:dyDescent="0.2">
      <c r="A504" s="5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5"/>
      <c r="AF504" s="5"/>
      <c r="AG504" s="5"/>
      <c r="AH504" s="5"/>
      <c r="AI504" s="5"/>
      <c r="AJ504" s="5"/>
      <c r="AK504" s="5"/>
      <c r="AL504" s="5"/>
      <c r="AM504" s="5"/>
    </row>
    <row r="505" spans="1:39" ht="15.75" customHeight="1" x14ac:dyDescent="0.2">
      <c r="A505" s="5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5"/>
      <c r="AF505" s="5"/>
      <c r="AG505" s="5"/>
      <c r="AH505" s="5"/>
      <c r="AI505" s="5"/>
      <c r="AJ505" s="5"/>
      <c r="AK505" s="5"/>
      <c r="AL505" s="5"/>
      <c r="AM505" s="5"/>
    </row>
    <row r="506" spans="1:39" ht="15.75" customHeight="1" x14ac:dyDescent="0.2">
      <c r="A506" s="5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5"/>
      <c r="AF506" s="5"/>
      <c r="AG506" s="5"/>
      <c r="AH506" s="5"/>
      <c r="AI506" s="5"/>
      <c r="AJ506" s="5"/>
      <c r="AK506" s="5"/>
      <c r="AL506" s="5"/>
      <c r="AM506" s="5"/>
    </row>
    <row r="507" spans="1:39" ht="15.75" customHeight="1" x14ac:dyDescent="0.2">
      <c r="A507" s="5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5"/>
      <c r="AF507" s="5"/>
      <c r="AG507" s="5"/>
      <c r="AH507" s="5"/>
      <c r="AI507" s="5"/>
      <c r="AJ507" s="5"/>
      <c r="AK507" s="5"/>
      <c r="AL507" s="5"/>
      <c r="AM507" s="5"/>
    </row>
    <row r="508" spans="1:39" ht="15.75" customHeight="1" x14ac:dyDescent="0.2">
      <c r="A508" s="5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5"/>
      <c r="AF508" s="5"/>
      <c r="AG508" s="5"/>
      <c r="AH508" s="5"/>
      <c r="AI508" s="5"/>
      <c r="AJ508" s="5"/>
      <c r="AK508" s="5"/>
      <c r="AL508" s="5"/>
      <c r="AM508" s="5"/>
    </row>
    <row r="509" spans="1:39" ht="15.75" customHeight="1" x14ac:dyDescent="0.2">
      <c r="A509" s="5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5"/>
      <c r="AF509" s="5"/>
      <c r="AG509" s="5"/>
      <c r="AH509" s="5"/>
      <c r="AI509" s="5"/>
      <c r="AJ509" s="5"/>
      <c r="AK509" s="5"/>
      <c r="AL509" s="5"/>
      <c r="AM509" s="5"/>
    </row>
    <row r="510" spans="1:39" ht="15.75" customHeight="1" x14ac:dyDescent="0.2">
      <c r="A510" s="5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5"/>
      <c r="AF510" s="5"/>
      <c r="AG510" s="5"/>
      <c r="AH510" s="5"/>
      <c r="AI510" s="5"/>
      <c r="AJ510" s="5"/>
      <c r="AK510" s="5"/>
      <c r="AL510" s="5"/>
      <c r="AM510" s="5"/>
    </row>
    <row r="511" spans="1:39" ht="15.75" customHeight="1" x14ac:dyDescent="0.2">
      <c r="A511" s="5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5"/>
      <c r="AF511" s="5"/>
      <c r="AG511" s="5"/>
      <c r="AH511" s="5"/>
      <c r="AI511" s="5"/>
      <c r="AJ511" s="5"/>
      <c r="AK511" s="5"/>
      <c r="AL511" s="5"/>
      <c r="AM511" s="5"/>
    </row>
    <row r="512" spans="1:39" ht="15.75" customHeight="1" x14ac:dyDescent="0.2">
      <c r="A512" s="5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5"/>
      <c r="AF512" s="5"/>
      <c r="AG512" s="5"/>
      <c r="AH512" s="5"/>
      <c r="AI512" s="5"/>
      <c r="AJ512" s="5"/>
      <c r="AK512" s="5"/>
      <c r="AL512" s="5"/>
      <c r="AM512" s="5"/>
    </row>
    <row r="513" spans="1:39" ht="15.75" customHeight="1" x14ac:dyDescent="0.2">
      <c r="A513" s="5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5"/>
      <c r="AF513" s="5"/>
      <c r="AG513" s="5"/>
      <c r="AH513" s="5"/>
      <c r="AI513" s="5"/>
      <c r="AJ513" s="5"/>
      <c r="AK513" s="5"/>
      <c r="AL513" s="5"/>
      <c r="AM513" s="5"/>
    </row>
    <row r="514" spans="1:39" ht="15.75" customHeight="1" x14ac:dyDescent="0.2">
      <c r="A514" s="5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5"/>
      <c r="AF514" s="5"/>
      <c r="AG514" s="5"/>
      <c r="AH514" s="5"/>
      <c r="AI514" s="5"/>
      <c r="AJ514" s="5"/>
      <c r="AK514" s="5"/>
      <c r="AL514" s="5"/>
      <c r="AM514" s="5"/>
    </row>
    <row r="515" spans="1:39" ht="15.75" customHeight="1" x14ac:dyDescent="0.2">
      <c r="A515" s="5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5"/>
      <c r="AF515" s="5"/>
      <c r="AG515" s="5"/>
      <c r="AH515" s="5"/>
      <c r="AI515" s="5"/>
      <c r="AJ515" s="5"/>
      <c r="AK515" s="5"/>
      <c r="AL515" s="5"/>
      <c r="AM515" s="5"/>
    </row>
    <row r="516" spans="1:39" ht="15.75" customHeight="1" x14ac:dyDescent="0.2">
      <c r="A516" s="5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5"/>
      <c r="AF516" s="5"/>
      <c r="AG516" s="5"/>
      <c r="AH516" s="5"/>
      <c r="AI516" s="5"/>
      <c r="AJ516" s="5"/>
      <c r="AK516" s="5"/>
      <c r="AL516" s="5"/>
      <c r="AM516" s="5"/>
    </row>
    <row r="517" spans="1:39" ht="15.75" customHeight="1" x14ac:dyDescent="0.2">
      <c r="A517" s="5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5"/>
      <c r="AF517" s="5"/>
      <c r="AG517" s="5"/>
      <c r="AH517" s="5"/>
      <c r="AI517" s="5"/>
      <c r="AJ517" s="5"/>
      <c r="AK517" s="5"/>
      <c r="AL517" s="5"/>
      <c r="AM517" s="5"/>
    </row>
    <row r="518" spans="1:39" ht="15.75" customHeight="1" x14ac:dyDescent="0.2">
      <c r="A518" s="5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5"/>
      <c r="AF518" s="5"/>
      <c r="AG518" s="5"/>
      <c r="AH518" s="5"/>
      <c r="AI518" s="5"/>
      <c r="AJ518" s="5"/>
      <c r="AK518" s="5"/>
      <c r="AL518" s="5"/>
      <c r="AM518" s="5"/>
    </row>
    <row r="519" spans="1:39" ht="15.75" customHeight="1" x14ac:dyDescent="0.2">
      <c r="A519" s="5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5"/>
      <c r="AF519" s="5"/>
      <c r="AG519" s="5"/>
      <c r="AH519" s="5"/>
      <c r="AI519" s="5"/>
      <c r="AJ519" s="5"/>
      <c r="AK519" s="5"/>
      <c r="AL519" s="5"/>
      <c r="AM519" s="5"/>
    </row>
    <row r="520" spans="1:39" ht="15.75" customHeight="1" x14ac:dyDescent="0.2">
      <c r="A520" s="5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5"/>
      <c r="AF520" s="5"/>
      <c r="AG520" s="5"/>
      <c r="AH520" s="5"/>
      <c r="AI520" s="5"/>
      <c r="AJ520" s="5"/>
      <c r="AK520" s="5"/>
      <c r="AL520" s="5"/>
      <c r="AM520" s="5"/>
    </row>
    <row r="521" spans="1:39" ht="15.75" customHeight="1" x14ac:dyDescent="0.2">
      <c r="A521" s="5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5"/>
      <c r="AF521" s="5"/>
      <c r="AG521" s="5"/>
      <c r="AH521" s="5"/>
      <c r="AI521" s="5"/>
      <c r="AJ521" s="5"/>
      <c r="AK521" s="5"/>
      <c r="AL521" s="5"/>
      <c r="AM521" s="5"/>
    </row>
    <row r="522" spans="1:39" ht="15.75" customHeight="1" x14ac:dyDescent="0.2">
      <c r="A522" s="5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5"/>
      <c r="AF522" s="5"/>
      <c r="AG522" s="5"/>
      <c r="AH522" s="5"/>
      <c r="AI522" s="5"/>
      <c r="AJ522" s="5"/>
      <c r="AK522" s="5"/>
      <c r="AL522" s="5"/>
      <c r="AM522" s="5"/>
    </row>
    <row r="523" spans="1:39" ht="15.75" customHeight="1" x14ac:dyDescent="0.2">
      <c r="A523" s="5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5"/>
      <c r="AF523" s="5"/>
      <c r="AG523" s="5"/>
      <c r="AH523" s="5"/>
      <c r="AI523" s="5"/>
      <c r="AJ523" s="5"/>
      <c r="AK523" s="5"/>
      <c r="AL523" s="5"/>
      <c r="AM523" s="5"/>
    </row>
    <row r="524" spans="1:39" ht="15.75" customHeight="1" x14ac:dyDescent="0.2">
      <c r="A524" s="5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5"/>
      <c r="AF524" s="5"/>
      <c r="AG524" s="5"/>
      <c r="AH524" s="5"/>
      <c r="AI524" s="5"/>
      <c r="AJ524" s="5"/>
      <c r="AK524" s="5"/>
      <c r="AL524" s="5"/>
      <c r="AM524" s="5"/>
    </row>
    <row r="525" spans="1:39" ht="15.75" customHeight="1" x14ac:dyDescent="0.2">
      <c r="A525" s="5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5"/>
      <c r="AF525" s="5"/>
      <c r="AG525" s="5"/>
      <c r="AH525" s="5"/>
      <c r="AI525" s="5"/>
      <c r="AJ525" s="5"/>
      <c r="AK525" s="5"/>
      <c r="AL525" s="5"/>
      <c r="AM525" s="5"/>
    </row>
    <row r="526" spans="1:39" ht="15.75" customHeight="1" x14ac:dyDescent="0.2">
      <c r="A526" s="5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5"/>
      <c r="AF526" s="5"/>
      <c r="AG526" s="5"/>
      <c r="AH526" s="5"/>
      <c r="AI526" s="5"/>
      <c r="AJ526" s="5"/>
      <c r="AK526" s="5"/>
      <c r="AL526" s="5"/>
      <c r="AM526" s="5"/>
    </row>
    <row r="527" spans="1:39" ht="15.75" customHeight="1" x14ac:dyDescent="0.2">
      <c r="A527" s="5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5"/>
      <c r="AF527" s="5"/>
      <c r="AG527" s="5"/>
      <c r="AH527" s="5"/>
      <c r="AI527" s="5"/>
      <c r="AJ527" s="5"/>
      <c r="AK527" s="5"/>
      <c r="AL527" s="5"/>
      <c r="AM527" s="5"/>
    </row>
    <row r="528" spans="1:39" ht="15.75" customHeight="1" x14ac:dyDescent="0.2">
      <c r="A528" s="5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5"/>
      <c r="AF528" s="5"/>
      <c r="AG528" s="5"/>
      <c r="AH528" s="5"/>
      <c r="AI528" s="5"/>
      <c r="AJ528" s="5"/>
      <c r="AK528" s="5"/>
      <c r="AL528" s="5"/>
      <c r="AM528" s="5"/>
    </row>
    <row r="529" spans="1:39" ht="15.75" customHeight="1" x14ac:dyDescent="0.2">
      <c r="A529" s="5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5"/>
      <c r="AF529" s="5"/>
      <c r="AG529" s="5"/>
      <c r="AH529" s="5"/>
      <c r="AI529" s="5"/>
      <c r="AJ529" s="5"/>
      <c r="AK529" s="5"/>
      <c r="AL529" s="5"/>
      <c r="AM529" s="5"/>
    </row>
    <row r="530" spans="1:39" ht="15.75" customHeight="1" x14ac:dyDescent="0.2">
      <c r="A530" s="5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5"/>
      <c r="AF530" s="5"/>
      <c r="AG530" s="5"/>
      <c r="AH530" s="5"/>
      <c r="AI530" s="5"/>
      <c r="AJ530" s="5"/>
      <c r="AK530" s="5"/>
      <c r="AL530" s="5"/>
      <c r="AM530" s="5"/>
    </row>
    <row r="531" spans="1:39" ht="15.75" customHeight="1" x14ac:dyDescent="0.2">
      <c r="A531" s="5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5"/>
      <c r="AF531" s="5"/>
      <c r="AG531" s="5"/>
      <c r="AH531" s="5"/>
      <c r="AI531" s="5"/>
      <c r="AJ531" s="5"/>
      <c r="AK531" s="5"/>
      <c r="AL531" s="5"/>
      <c r="AM531" s="5"/>
    </row>
    <row r="532" spans="1:39" ht="15.75" customHeight="1" x14ac:dyDescent="0.2">
      <c r="A532" s="5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5"/>
      <c r="AF532" s="5"/>
      <c r="AG532" s="5"/>
      <c r="AH532" s="5"/>
      <c r="AI532" s="5"/>
      <c r="AJ532" s="5"/>
      <c r="AK532" s="5"/>
      <c r="AL532" s="5"/>
      <c r="AM532" s="5"/>
    </row>
    <row r="533" spans="1:39" ht="15.75" customHeight="1" x14ac:dyDescent="0.2">
      <c r="A533" s="5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5"/>
      <c r="AF533" s="5"/>
      <c r="AG533" s="5"/>
      <c r="AH533" s="5"/>
      <c r="AI533" s="5"/>
      <c r="AJ533" s="5"/>
      <c r="AK533" s="5"/>
      <c r="AL533" s="5"/>
      <c r="AM533" s="5"/>
    </row>
    <row r="534" spans="1:39" ht="15.75" customHeight="1" x14ac:dyDescent="0.2">
      <c r="A534" s="5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5"/>
      <c r="AF534" s="5"/>
      <c r="AG534" s="5"/>
      <c r="AH534" s="5"/>
      <c r="AI534" s="5"/>
      <c r="AJ534" s="5"/>
      <c r="AK534" s="5"/>
      <c r="AL534" s="5"/>
      <c r="AM534" s="5"/>
    </row>
    <row r="535" spans="1:39" ht="15.75" customHeight="1" x14ac:dyDescent="0.2">
      <c r="A535" s="5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5"/>
      <c r="AF535" s="5"/>
      <c r="AG535" s="5"/>
      <c r="AH535" s="5"/>
      <c r="AI535" s="5"/>
      <c r="AJ535" s="5"/>
      <c r="AK535" s="5"/>
      <c r="AL535" s="5"/>
      <c r="AM535" s="5"/>
    </row>
    <row r="536" spans="1:39" ht="15.75" customHeight="1" x14ac:dyDescent="0.2">
      <c r="A536" s="5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5"/>
      <c r="AF536" s="5"/>
      <c r="AG536" s="5"/>
      <c r="AH536" s="5"/>
      <c r="AI536" s="5"/>
      <c r="AJ536" s="5"/>
      <c r="AK536" s="5"/>
      <c r="AL536" s="5"/>
      <c r="AM536" s="5"/>
    </row>
    <row r="537" spans="1:39" ht="15.75" customHeight="1" x14ac:dyDescent="0.2">
      <c r="A537" s="5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5"/>
      <c r="AF537" s="5"/>
      <c r="AG537" s="5"/>
      <c r="AH537" s="5"/>
      <c r="AI537" s="5"/>
      <c r="AJ537" s="5"/>
      <c r="AK537" s="5"/>
      <c r="AL537" s="5"/>
      <c r="AM537" s="5"/>
    </row>
    <row r="538" spans="1:39" ht="15.75" customHeight="1" x14ac:dyDescent="0.2">
      <c r="A538" s="5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5"/>
      <c r="AF538" s="5"/>
      <c r="AG538" s="5"/>
      <c r="AH538" s="5"/>
      <c r="AI538" s="5"/>
      <c r="AJ538" s="5"/>
      <c r="AK538" s="5"/>
      <c r="AL538" s="5"/>
      <c r="AM538" s="5"/>
    </row>
    <row r="539" spans="1:39" ht="15.75" customHeight="1" x14ac:dyDescent="0.2">
      <c r="A539" s="5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5"/>
      <c r="AF539" s="5"/>
      <c r="AG539" s="5"/>
      <c r="AH539" s="5"/>
      <c r="AI539" s="5"/>
      <c r="AJ539" s="5"/>
      <c r="AK539" s="5"/>
      <c r="AL539" s="5"/>
      <c r="AM539" s="5"/>
    </row>
    <row r="540" spans="1:39" ht="15.75" customHeight="1" x14ac:dyDescent="0.2">
      <c r="A540" s="5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5"/>
      <c r="AF540" s="5"/>
      <c r="AG540" s="5"/>
      <c r="AH540" s="5"/>
      <c r="AI540" s="5"/>
      <c r="AJ540" s="5"/>
      <c r="AK540" s="5"/>
      <c r="AL540" s="5"/>
      <c r="AM540" s="5"/>
    </row>
    <row r="541" spans="1:39" ht="15.75" customHeight="1" x14ac:dyDescent="0.2">
      <c r="A541" s="5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5"/>
      <c r="AF541" s="5"/>
      <c r="AG541" s="5"/>
      <c r="AH541" s="5"/>
      <c r="AI541" s="5"/>
      <c r="AJ541" s="5"/>
      <c r="AK541" s="5"/>
      <c r="AL541" s="5"/>
      <c r="AM541" s="5"/>
    </row>
    <row r="542" spans="1:39" ht="15.75" customHeight="1" x14ac:dyDescent="0.2">
      <c r="A542" s="5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5"/>
      <c r="AF542" s="5"/>
      <c r="AG542" s="5"/>
      <c r="AH542" s="5"/>
      <c r="AI542" s="5"/>
      <c r="AJ542" s="5"/>
      <c r="AK542" s="5"/>
      <c r="AL542" s="5"/>
      <c r="AM542" s="5"/>
    </row>
    <row r="543" spans="1:39" ht="15.75" customHeight="1" x14ac:dyDescent="0.2">
      <c r="A543" s="5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5"/>
      <c r="AF543" s="5"/>
      <c r="AG543" s="5"/>
      <c r="AH543" s="5"/>
      <c r="AI543" s="5"/>
      <c r="AJ543" s="5"/>
      <c r="AK543" s="5"/>
      <c r="AL543" s="5"/>
      <c r="AM543" s="5"/>
    </row>
    <row r="544" spans="1:39" ht="15.75" customHeight="1" x14ac:dyDescent="0.2">
      <c r="A544" s="5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5"/>
      <c r="AF544" s="5"/>
      <c r="AG544" s="5"/>
      <c r="AH544" s="5"/>
      <c r="AI544" s="5"/>
      <c r="AJ544" s="5"/>
      <c r="AK544" s="5"/>
      <c r="AL544" s="5"/>
      <c r="AM544" s="5"/>
    </row>
    <row r="545" spans="1:39" ht="15.75" customHeight="1" x14ac:dyDescent="0.2">
      <c r="A545" s="5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5"/>
      <c r="AF545" s="5"/>
      <c r="AG545" s="5"/>
      <c r="AH545" s="5"/>
      <c r="AI545" s="5"/>
      <c r="AJ545" s="5"/>
      <c r="AK545" s="5"/>
      <c r="AL545" s="5"/>
      <c r="AM545" s="5"/>
    </row>
    <row r="546" spans="1:39" ht="15.75" customHeight="1" x14ac:dyDescent="0.2">
      <c r="A546" s="5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5"/>
      <c r="AF546" s="5"/>
      <c r="AG546" s="5"/>
      <c r="AH546" s="5"/>
      <c r="AI546" s="5"/>
      <c r="AJ546" s="5"/>
      <c r="AK546" s="5"/>
      <c r="AL546" s="5"/>
      <c r="AM546" s="5"/>
    </row>
    <row r="547" spans="1:39" ht="15.75" customHeight="1" x14ac:dyDescent="0.2">
      <c r="A547" s="5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5"/>
      <c r="AF547" s="5"/>
      <c r="AG547" s="5"/>
      <c r="AH547" s="5"/>
      <c r="AI547" s="5"/>
      <c r="AJ547" s="5"/>
      <c r="AK547" s="5"/>
      <c r="AL547" s="5"/>
      <c r="AM547" s="5"/>
    </row>
    <row r="548" spans="1:39" ht="15.75" customHeight="1" x14ac:dyDescent="0.2">
      <c r="A548" s="5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5"/>
      <c r="AF548" s="5"/>
      <c r="AG548" s="5"/>
      <c r="AH548" s="5"/>
      <c r="AI548" s="5"/>
      <c r="AJ548" s="5"/>
      <c r="AK548" s="5"/>
      <c r="AL548" s="5"/>
      <c r="AM548" s="5"/>
    </row>
    <row r="549" spans="1:39" ht="15.75" customHeight="1" x14ac:dyDescent="0.2">
      <c r="A549" s="5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5"/>
      <c r="AF549" s="5"/>
      <c r="AG549" s="5"/>
      <c r="AH549" s="5"/>
      <c r="AI549" s="5"/>
      <c r="AJ549" s="5"/>
      <c r="AK549" s="5"/>
      <c r="AL549" s="5"/>
      <c r="AM549" s="5"/>
    </row>
    <row r="550" spans="1:39" ht="15.75" customHeight="1" x14ac:dyDescent="0.2">
      <c r="A550" s="5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5"/>
      <c r="AF550" s="5"/>
      <c r="AG550" s="5"/>
      <c r="AH550" s="5"/>
      <c r="AI550" s="5"/>
      <c r="AJ550" s="5"/>
      <c r="AK550" s="5"/>
      <c r="AL550" s="5"/>
      <c r="AM550" s="5"/>
    </row>
    <row r="551" spans="1:39" ht="15.75" customHeight="1" x14ac:dyDescent="0.2">
      <c r="A551" s="5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5"/>
      <c r="AF551" s="5"/>
      <c r="AG551" s="5"/>
      <c r="AH551" s="5"/>
      <c r="AI551" s="5"/>
      <c r="AJ551" s="5"/>
      <c r="AK551" s="5"/>
      <c r="AL551" s="5"/>
      <c r="AM551" s="5"/>
    </row>
    <row r="552" spans="1:39" ht="15.75" customHeight="1" x14ac:dyDescent="0.2">
      <c r="A552" s="5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5"/>
      <c r="AF552" s="5"/>
      <c r="AG552" s="5"/>
      <c r="AH552" s="5"/>
      <c r="AI552" s="5"/>
      <c r="AJ552" s="5"/>
      <c r="AK552" s="5"/>
      <c r="AL552" s="5"/>
      <c r="AM552" s="5"/>
    </row>
    <row r="553" spans="1:39" ht="15.75" customHeight="1" x14ac:dyDescent="0.2">
      <c r="A553" s="5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5"/>
      <c r="AF553" s="5"/>
      <c r="AG553" s="5"/>
      <c r="AH553" s="5"/>
      <c r="AI553" s="5"/>
      <c r="AJ553" s="5"/>
      <c r="AK553" s="5"/>
      <c r="AL553" s="5"/>
      <c r="AM553" s="5"/>
    </row>
    <row r="554" spans="1:39" ht="15.75" customHeight="1" x14ac:dyDescent="0.2">
      <c r="A554" s="5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5"/>
      <c r="AF554" s="5"/>
      <c r="AG554" s="5"/>
      <c r="AH554" s="5"/>
      <c r="AI554" s="5"/>
      <c r="AJ554" s="5"/>
      <c r="AK554" s="5"/>
      <c r="AL554" s="5"/>
      <c r="AM554" s="5"/>
    </row>
    <row r="555" spans="1:39" ht="15.75" customHeight="1" x14ac:dyDescent="0.2">
      <c r="A555" s="5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5"/>
      <c r="AF555" s="5"/>
      <c r="AG555" s="5"/>
      <c r="AH555" s="5"/>
      <c r="AI555" s="5"/>
      <c r="AJ555" s="5"/>
      <c r="AK555" s="5"/>
      <c r="AL555" s="5"/>
      <c r="AM555" s="5"/>
    </row>
    <row r="556" spans="1:39" ht="15.75" customHeight="1" x14ac:dyDescent="0.2">
      <c r="A556" s="5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5"/>
      <c r="AF556" s="5"/>
      <c r="AG556" s="5"/>
      <c r="AH556" s="5"/>
      <c r="AI556" s="5"/>
      <c r="AJ556" s="5"/>
      <c r="AK556" s="5"/>
      <c r="AL556" s="5"/>
      <c r="AM556" s="5"/>
    </row>
    <row r="557" spans="1:39" ht="15.75" customHeight="1" x14ac:dyDescent="0.2">
      <c r="A557" s="5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5"/>
      <c r="AF557" s="5"/>
      <c r="AG557" s="5"/>
      <c r="AH557" s="5"/>
      <c r="AI557" s="5"/>
      <c r="AJ557" s="5"/>
      <c r="AK557" s="5"/>
      <c r="AL557" s="5"/>
      <c r="AM557" s="5"/>
    </row>
    <row r="558" spans="1:39" ht="15.75" customHeight="1" x14ac:dyDescent="0.2">
      <c r="A558" s="5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5"/>
      <c r="AF558" s="5"/>
      <c r="AG558" s="5"/>
      <c r="AH558" s="5"/>
      <c r="AI558" s="5"/>
      <c r="AJ558" s="5"/>
      <c r="AK558" s="5"/>
      <c r="AL558" s="5"/>
      <c r="AM558" s="5"/>
    </row>
    <row r="559" spans="1:39" ht="15.75" customHeight="1" x14ac:dyDescent="0.2">
      <c r="A559" s="5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5"/>
      <c r="AF559" s="5"/>
      <c r="AG559" s="5"/>
      <c r="AH559" s="5"/>
      <c r="AI559" s="5"/>
      <c r="AJ559" s="5"/>
      <c r="AK559" s="5"/>
      <c r="AL559" s="5"/>
      <c r="AM559" s="5"/>
    </row>
    <row r="560" spans="1:39" ht="15.75" customHeight="1" x14ac:dyDescent="0.2">
      <c r="A560" s="5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5"/>
      <c r="AF560" s="5"/>
      <c r="AG560" s="5"/>
      <c r="AH560" s="5"/>
      <c r="AI560" s="5"/>
      <c r="AJ560" s="5"/>
      <c r="AK560" s="5"/>
      <c r="AL560" s="5"/>
      <c r="AM560" s="5"/>
    </row>
    <row r="561" spans="1:39" ht="15.75" customHeight="1" x14ac:dyDescent="0.2">
      <c r="A561" s="5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5"/>
      <c r="AF561" s="5"/>
      <c r="AG561" s="5"/>
      <c r="AH561" s="5"/>
      <c r="AI561" s="5"/>
      <c r="AJ561" s="5"/>
      <c r="AK561" s="5"/>
      <c r="AL561" s="5"/>
      <c r="AM561" s="5"/>
    </row>
    <row r="562" spans="1:39" ht="15.75" customHeight="1" x14ac:dyDescent="0.2">
      <c r="A562" s="5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5"/>
      <c r="AF562" s="5"/>
      <c r="AG562" s="5"/>
      <c r="AH562" s="5"/>
      <c r="AI562" s="5"/>
      <c r="AJ562" s="5"/>
      <c r="AK562" s="5"/>
      <c r="AL562" s="5"/>
      <c r="AM562" s="5"/>
    </row>
    <row r="563" spans="1:39" ht="15.75" customHeight="1" x14ac:dyDescent="0.2">
      <c r="A563" s="5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5"/>
      <c r="AF563" s="5"/>
      <c r="AG563" s="5"/>
      <c r="AH563" s="5"/>
      <c r="AI563" s="5"/>
      <c r="AJ563" s="5"/>
      <c r="AK563" s="5"/>
      <c r="AL563" s="5"/>
      <c r="AM563" s="5"/>
    </row>
    <row r="564" spans="1:39" ht="15.75" customHeight="1" x14ac:dyDescent="0.2">
      <c r="A564" s="5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5"/>
      <c r="AF564" s="5"/>
      <c r="AG564" s="5"/>
      <c r="AH564" s="5"/>
      <c r="AI564" s="5"/>
      <c r="AJ564" s="5"/>
      <c r="AK564" s="5"/>
      <c r="AL564" s="5"/>
      <c r="AM564" s="5"/>
    </row>
    <row r="565" spans="1:39" ht="15.75" customHeight="1" x14ac:dyDescent="0.2">
      <c r="A565" s="5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5"/>
      <c r="AF565" s="5"/>
      <c r="AG565" s="5"/>
      <c r="AH565" s="5"/>
      <c r="AI565" s="5"/>
      <c r="AJ565" s="5"/>
      <c r="AK565" s="5"/>
      <c r="AL565" s="5"/>
      <c r="AM565" s="5"/>
    </row>
    <row r="566" spans="1:39" ht="15.75" customHeight="1" x14ac:dyDescent="0.2">
      <c r="A566" s="5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5"/>
      <c r="AF566" s="5"/>
      <c r="AG566" s="5"/>
      <c r="AH566" s="5"/>
      <c r="AI566" s="5"/>
      <c r="AJ566" s="5"/>
      <c r="AK566" s="5"/>
      <c r="AL566" s="5"/>
      <c r="AM566" s="5"/>
    </row>
    <row r="567" spans="1:39" ht="15.75" customHeight="1" x14ac:dyDescent="0.2">
      <c r="A567" s="5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5"/>
      <c r="AF567" s="5"/>
      <c r="AG567" s="5"/>
      <c r="AH567" s="5"/>
      <c r="AI567" s="5"/>
      <c r="AJ567" s="5"/>
      <c r="AK567" s="5"/>
      <c r="AL567" s="5"/>
      <c r="AM567" s="5"/>
    </row>
    <row r="568" spans="1:39" ht="15.75" customHeight="1" x14ac:dyDescent="0.2">
      <c r="A568" s="5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5"/>
      <c r="AF568" s="5"/>
      <c r="AG568" s="5"/>
      <c r="AH568" s="5"/>
      <c r="AI568" s="5"/>
      <c r="AJ568" s="5"/>
      <c r="AK568" s="5"/>
      <c r="AL568" s="5"/>
      <c r="AM568" s="5"/>
    </row>
    <row r="569" spans="1:39" ht="15.75" customHeight="1" x14ac:dyDescent="0.2">
      <c r="A569" s="5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5"/>
      <c r="AF569" s="5"/>
      <c r="AG569" s="5"/>
      <c r="AH569" s="5"/>
      <c r="AI569" s="5"/>
      <c r="AJ569" s="5"/>
      <c r="AK569" s="5"/>
      <c r="AL569" s="5"/>
      <c r="AM569" s="5"/>
    </row>
    <row r="570" spans="1:39" ht="15.75" customHeight="1" x14ac:dyDescent="0.2">
      <c r="A570" s="5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5"/>
      <c r="AF570" s="5"/>
      <c r="AG570" s="5"/>
      <c r="AH570" s="5"/>
      <c r="AI570" s="5"/>
      <c r="AJ570" s="5"/>
      <c r="AK570" s="5"/>
      <c r="AL570" s="5"/>
      <c r="AM570" s="5"/>
    </row>
    <row r="571" spans="1:39" ht="15.75" customHeight="1" x14ac:dyDescent="0.2">
      <c r="A571" s="5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5"/>
      <c r="AF571" s="5"/>
      <c r="AG571" s="5"/>
      <c r="AH571" s="5"/>
      <c r="AI571" s="5"/>
      <c r="AJ571" s="5"/>
      <c r="AK571" s="5"/>
      <c r="AL571" s="5"/>
      <c r="AM571" s="5"/>
    </row>
    <row r="572" spans="1:39" ht="15.75" customHeight="1" x14ac:dyDescent="0.2">
      <c r="A572" s="5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5"/>
      <c r="AF572" s="5"/>
      <c r="AG572" s="5"/>
      <c r="AH572" s="5"/>
      <c r="AI572" s="5"/>
      <c r="AJ572" s="5"/>
      <c r="AK572" s="5"/>
      <c r="AL572" s="5"/>
      <c r="AM572" s="5"/>
    </row>
    <row r="573" spans="1:39" ht="15.75" customHeight="1" x14ac:dyDescent="0.2">
      <c r="A573" s="5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5"/>
      <c r="AF573" s="5"/>
      <c r="AG573" s="5"/>
      <c r="AH573" s="5"/>
      <c r="AI573" s="5"/>
      <c r="AJ573" s="5"/>
      <c r="AK573" s="5"/>
      <c r="AL573" s="5"/>
      <c r="AM573" s="5"/>
    </row>
    <row r="574" spans="1:39" ht="15.75" customHeight="1" x14ac:dyDescent="0.2">
      <c r="A574" s="5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5"/>
      <c r="AF574" s="5"/>
      <c r="AG574" s="5"/>
      <c r="AH574" s="5"/>
      <c r="AI574" s="5"/>
      <c r="AJ574" s="5"/>
      <c r="AK574" s="5"/>
      <c r="AL574" s="5"/>
      <c r="AM574" s="5"/>
    </row>
    <row r="575" spans="1:39" ht="15.75" customHeight="1" x14ac:dyDescent="0.2">
      <c r="A575" s="5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5"/>
      <c r="AF575" s="5"/>
      <c r="AG575" s="5"/>
      <c r="AH575" s="5"/>
      <c r="AI575" s="5"/>
      <c r="AJ575" s="5"/>
      <c r="AK575" s="5"/>
      <c r="AL575" s="5"/>
      <c r="AM575" s="5"/>
    </row>
    <row r="576" spans="1:39" ht="15.75" customHeight="1" x14ac:dyDescent="0.2">
      <c r="A576" s="5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5"/>
      <c r="AF576" s="5"/>
      <c r="AG576" s="5"/>
      <c r="AH576" s="5"/>
      <c r="AI576" s="5"/>
      <c r="AJ576" s="5"/>
      <c r="AK576" s="5"/>
      <c r="AL576" s="5"/>
      <c r="AM576" s="5"/>
    </row>
    <row r="577" spans="1:39" ht="15.75" customHeight="1" x14ac:dyDescent="0.2">
      <c r="A577" s="5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5"/>
      <c r="AF577" s="5"/>
      <c r="AG577" s="5"/>
      <c r="AH577" s="5"/>
      <c r="AI577" s="5"/>
      <c r="AJ577" s="5"/>
      <c r="AK577" s="5"/>
      <c r="AL577" s="5"/>
      <c r="AM577" s="5"/>
    </row>
    <row r="578" spans="1:39" ht="15.75" customHeight="1" x14ac:dyDescent="0.2">
      <c r="A578" s="5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5"/>
      <c r="AF578" s="5"/>
      <c r="AG578" s="5"/>
      <c r="AH578" s="5"/>
      <c r="AI578" s="5"/>
      <c r="AJ578" s="5"/>
      <c r="AK578" s="5"/>
      <c r="AL578" s="5"/>
      <c r="AM578" s="5"/>
    </row>
    <row r="579" spans="1:39" ht="15.75" customHeight="1" x14ac:dyDescent="0.2">
      <c r="A579" s="5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5"/>
      <c r="AF579" s="5"/>
      <c r="AG579" s="5"/>
      <c r="AH579" s="5"/>
      <c r="AI579" s="5"/>
      <c r="AJ579" s="5"/>
      <c r="AK579" s="5"/>
      <c r="AL579" s="5"/>
      <c r="AM579" s="5"/>
    </row>
    <row r="580" spans="1:39" ht="15.75" customHeight="1" x14ac:dyDescent="0.2">
      <c r="A580" s="5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5"/>
      <c r="AF580" s="5"/>
      <c r="AG580" s="5"/>
      <c r="AH580" s="5"/>
      <c r="AI580" s="5"/>
      <c r="AJ580" s="5"/>
      <c r="AK580" s="5"/>
      <c r="AL580" s="5"/>
      <c r="AM580" s="5"/>
    </row>
    <row r="581" spans="1:39" ht="15.75" customHeight="1" x14ac:dyDescent="0.2">
      <c r="A581" s="5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5"/>
      <c r="AF581" s="5"/>
      <c r="AG581" s="5"/>
      <c r="AH581" s="5"/>
      <c r="AI581" s="5"/>
      <c r="AJ581" s="5"/>
      <c r="AK581" s="5"/>
      <c r="AL581" s="5"/>
      <c r="AM581" s="5"/>
    </row>
    <row r="582" spans="1:39" ht="15.75" customHeight="1" x14ac:dyDescent="0.2">
      <c r="A582" s="5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5"/>
      <c r="AF582" s="5"/>
      <c r="AG582" s="5"/>
      <c r="AH582" s="5"/>
      <c r="AI582" s="5"/>
      <c r="AJ582" s="5"/>
      <c r="AK582" s="5"/>
      <c r="AL582" s="5"/>
      <c r="AM582" s="5"/>
    </row>
    <row r="583" spans="1:39" ht="15.75" customHeight="1" x14ac:dyDescent="0.2">
      <c r="A583" s="5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5"/>
      <c r="AF583" s="5"/>
      <c r="AG583" s="5"/>
      <c r="AH583" s="5"/>
      <c r="AI583" s="5"/>
      <c r="AJ583" s="5"/>
      <c r="AK583" s="5"/>
      <c r="AL583" s="5"/>
      <c r="AM583" s="5"/>
    </row>
    <row r="584" spans="1:39" ht="15.75" customHeight="1" x14ac:dyDescent="0.2">
      <c r="A584" s="5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5"/>
      <c r="AF584" s="5"/>
      <c r="AG584" s="5"/>
      <c r="AH584" s="5"/>
      <c r="AI584" s="5"/>
      <c r="AJ584" s="5"/>
      <c r="AK584" s="5"/>
      <c r="AL584" s="5"/>
      <c r="AM584" s="5"/>
    </row>
    <row r="585" spans="1:39" ht="15.75" customHeight="1" x14ac:dyDescent="0.2">
      <c r="A585" s="5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5"/>
      <c r="AF585" s="5"/>
      <c r="AG585" s="5"/>
      <c r="AH585" s="5"/>
      <c r="AI585" s="5"/>
      <c r="AJ585" s="5"/>
      <c r="AK585" s="5"/>
      <c r="AL585" s="5"/>
      <c r="AM585" s="5"/>
    </row>
    <row r="586" spans="1:39" ht="15.75" customHeight="1" x14ac:dyDescent="0.2">
      <c r="A586" s="5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5"/>
      <c r="AF586" s="5"/>
      <c r="AG586" s="5"/>
      <c r="AH586" s="5"/>
      <c r="AI586" s="5"/>
      <c r="AJ586" s="5"/>
      <c r="AK586" s="5"/>
      <c r="AL586" s="5"/>
      <c r="AM586" s="5"/>
    </row>
    <row r="587" spans="1:39" ht="15.75" customHeight="1" x14ac:dyDescent="0.2">
      <c r="A587" s="5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5"/>
      <c r="AF587" s="5"/>
      <c r="AG587" s="5"/>
      <c r="AH587" s="5"/>
      <c r="AI587" s="5"/>
      <c r="AJ587" s="5"/>
      <c r="AK587" s="5"/>
      <c r="AL587" s="5"/>
      <c r="AM587" s="5"/>
    </row>
    <row r="588" spans="1:39" ht="15.75" customHeight="1" x14ac:dyDescent="0.2">
      <c r="A588" s="5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5"/>
      <c r="AF588" s="5"/>
      <c r="AG588" s="5"/>
      <c r="AH588" s="5"/>
      <c r="AI588" s="5"/>
      <c r="AJ588" s="5"/>
      <c r="AK588" s="5"/>
      <c r="AL588" s="5"/>
      <c r="AM588" s="5"/>
    </row>
    <row r="589" spans="1:39" ht="15.75" customHeight="1" x14ac:dyDescent="0.2">
      <c r="A589" s="5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5"/>
      <c r="AF589" s="5"/>
      <c r="AG589" s="5"/>
      <c r="AH589" s="5"/>
      <c r="AI589" s="5"/>
      <c r="AJ589" s="5"/>
      <c r="AK589" s="5"/>
      <c r="AL589" s="5"/>
      <c r="AM589" s="5"/>
    </row>
    <row r="590" spans="1:39" ht="15.75" customHeight="1" x14ac:dyDescent="0.2">
      <c r="A590" s="5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5"/>
      <c r="AF590" s="5"/>
      <c r="AG590" s="5"/>
      <c r="AH590" s="5"/>
      <c r="AI590" s="5"/>
      <c r="AJ590" s="5"/>
      <c r="AK590" s="5"/>
      <c r="AL590" s="5"/>
      <c r="AM590" s="5"/>
    </row>
    <row r="591" spans="1:39" ht="15.75" customHeight="1" x14ac:dyDescent="0.2">
      <c r="A591" s="5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5"/>
      <c r="AF591" s="5"/>
      <c r="AG591" s="5"/>
      <c r="AH591" s="5"/>
      <c r="AI591" s="5"/>
      <c r="AJ591" s="5"/>
      <c r="AK591" s="5"/>
      <c r="AL591" s="5"/>
      <c r="AM591" s="5"/>
    </row>
    <row r="592" spans="1:39" ht="15.75" customHeight="1" x14ac:dyDescent="0.2">
      <c r="A592" s="5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5"/>
      <c r="AF592" s="5"/>
      <c r="AG592" s="5"/>
      <c r="AH592" s="5"/>
      <c r="AI592" s="5"/>
      <c r="AJ592" s="5"/>
      <c r="AK592" s="5"/>
      <c r="AL592" s="5"/>
      <c r="AM592" s="5"/>
    </row>
    <row r="593" spans="1:39" ht="15.75" customHeight="1" x14ac:dyDescent="0.2">
      <c r="A593" s="5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5"/>
      <c r="AF593" s="5"/>
      <c r="AG593" s="5"/>
      <c r="AH593" s="5"/>
      <c r="AI593" s="5"/>
      <c r="AJ593" s="5"/>
      <c r="AK593" s="5"/>
      <c r="AL593" s="5"/>
      <c r="AM593" s="5"/>
    </row>
    <row r="594" spans="1:39" ht="15.75" customHeight="1" x14ac:dyDescent="0.2">
      <c r="A594" s="5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5"/>
      <c r="AF594" s="5"/>
      <c r="AG594" s="5"/>
      <c r="AH594" s="5"/>
      <c r="AI594" s="5"/>
      <c r="AJ594" s="5"/>
      <c r="AK594" s="5"/>
      <c r="AL594" s="5"/>
      <c r="AM594" s="5"/>
    </row>
    <row r="595" spans="1:39" ht="15.75" customHeight="1" x14ac:dyDescent="0.2">
      <c r="A595" s="5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5"/>
      <c r="AF595" s="5"/>
      <c r="AG595" s="5"/>
      <c r="AH595" s="5"/>
      <c r="AI595" s="5"/>
      <c r="AJ595" s="5"/>
      <c r="AK595" s="5"/>
      <c r="AL595" s="5"/>
      <c r="AM595" s="5"/>
    </row>
    <row r="596" spans="1:39" ht="15.75" customHeight="1" x14ac:dyDescent="0.2">
      <c r="A596" s="5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5"/>
      <c r="AF596" s="5"/>
      <c r="AG596" s="5"/>
      <c r="AH596" s="5"/>
      <c r="AI596" s="5"/>
      <c r="AJ596" s="5"/>
      <c r="AK596" s="5"/>
      <c r="AL596" s="5"/>
      <c r="AM596" s="5"/>
    </row>
    <row r="597" spans="1:39" ht="15.75" customHeight="1" x14ac:dyDescent="0.2">
      <c r="A597" s="5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5"/>
      <c r="AF597" s="5"/>
      <c r="AG597" s="5"/>
      <c r="AH597" s="5"/>
      <c r="AI597" s="5"/>
      <c r="AJ597" s="5"/>
      <c r="AK597" s="5"/>
      <c r="AL597" s="5"/>
      <c r="AM597" s="5"/>
    </row>
    <row r="598" spans="1:39" ht="15.75" customHeight="1" x14ac:dyDescent="0.2">
      <c r="A598" s="5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5"/>
      <c r="AF598" s="5"/>
      <c r="AG598" s="5"/>
      <c r="AH598" s="5"/>
      <c r="AI598" s="5"/>
      <c r="AJ598" s="5"/>
      <c r="AK598" s="5"/>
      <c r="AL598" s="5"/>
      <c r="AM598" s="5"/>
    </row>
    <row r="599" spans="1:39" ht="15.75" customHeight="1" x14ac:dyDescent="0.2">
      <c r="A599" s="5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5"/>
      <c r="AF599" s="5"/>
      <c r="AG599" s="5"/>
      <c r="AH599" s="5"/>
      <c r="AI599" s="5"/>
      <c r="AJ599" s="5"/>
      <c r="AK599" s="5"/>
      <c r="AL599" s="5"/>
      <c r="AM599" s="5"/>
    </row>
    <row r="600" spans="1:39" ht="15.75" customHeight="1" x14ac:dyDescent="0.2">
      <c r="A600" s="5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5"/>
      <c r="AF600" s="5"/>
      <c r="AG600" s="5"/>
      <c r="AH600" s="5"/>
      <c r="AI600" s="5"/>
      <c r="AJ600" s="5"/>
      <c r="AK600" s="5"/>
      <c r="AL600" s="5"/>
      <c r="AM600" s="5"/>
    </row>
    <row r="601" spans="1:39" ht="15.75" customHeight="1" x14ac:dyDescent="0.2">
      <c r="A601" s="5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5"/>
      <c r="AF601" s="5"/>
      <c r="AG601" s="5"/>
      <c r="AH601" s="5"/>
      <c r="AI601" s="5"/>
      <c r="AJ601" s="5"/>
      <c r="AK601" s="5"/>
      <c r="AL601" s="5"/>
      <c r="AM601" s="5"/>
    </row>
    <row r="602" spans="1:39" ht="15.75" customHeight="1" x14ac:dyDescent="0.2">
      <c r="A602" s="5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5"/>
      <c r="AF602" s="5"/>
      <c r="AG602" s="5"/>
      <c r="AH602" s="5"/>
      <c r="AI602" s="5"/>
      <c r="AJ602" s="5"/>
      <c r="AK602" s="5"/>
      <c r="AL602" s="5"/>
      <c r="AM602" s="5"/>
    </row>
    <row r="603" spans="1:39" ht="15.75" customHeight="1" x14ac:dyDescent="0.2">
      <c r="A603" s="5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5"/>
      <c r="AF603" s="5"/>
      <c r="AG603" s="5"/>
      <c r="AH603" s="5"/>
      <c r="AI603" s="5"/>
      <c r="AJ603" s="5"/>
      <c r="AK603" s="5"/>
      <c r="AL603" s="5"/>
      <c r="AM603" s="5"/>
    </row>
    <row r="604" spans="1:39" ht="15.75" customHeight="1" x14ac:dyDescent="0.2">
      <c r="A604" s="5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5"/>
      <c r="AF604" s="5"/>
      <c r="AG604" s="5"/>
      <c r="AH604" s="5"/>
      <c r="AI604" s="5"/>
      <c r="AJ604" s="5"/>
      <c r="AK604" s="5"/>
      <c r="AL604" s="5"/>
      <c r="AM604" s="5"/>
    </row>
    <row r="605" spans="1:39" ht="15.75" customHeight="1" x14ac:dyDescent="0.2">
      <c r="A605" s="5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5"/>
      <c r="AF605" s="5"/>
      <c r="AG605" s="5"/>
      <c r="AH605" s="5"/>
      <c r="AI605" s="5"/>
      <c r="AJ605" s="5"/>
      <c r="AK605" s="5"/>
      <c r="AL605" s="5"/>
      <c r="AM605" s="5"/>
    </row>
    <row r="606" spans="1:39" ht="15.75" customHeight="1" x14ac:dyDescent="0.2">
      <c r="A606" s="5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5"/>
      <c r="AF606" s="5"/>
      <c r="AG606" s="5"/>
      <c r="AH606" s="5"/>
      <c r="AI606" s="5"/>
      <c r="AJ606" s="5"/>
      <c r="AK606" s="5"/>
      <c r="AL606" s="5"/>
      <c r="AM606" s="5"/>
    </row>
    <row r="607" spans="1:39" ht="15.75" customHeight="1" x14ac:dyDescent="0.2">
      <c r="A607" s="5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5"/>
      <c r="AF607" s="5"/>
      <c r="AG607" s="5"/>
      <c r="AH607" s="5"/>
      <c r="AI607" s="5"/>
      <c r="AJ607" s="5"/>
      <c r="AK607" s="5"/>
      <c r="AL607" s="5"/>
      <c r="AM607" s="5"/>
    </row>
    <row r="608" spans="1:39" ht="15.75" customHeight="1" x14ac:dyDescent="0.2">
      <c r="A608" s="5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5"/>
      <c r="AF608" s="5"/>
      <c r="AG608" s="5"/>
      <c r="AH608" s="5"/>
      <c r="AI608" s="5"/>
      <c r="AJ608" s="5"/>
      <c r="AK608" s="5"/>
      <c r="AL608" s="5"/>
      <c r="AM608" s="5"/>
    </row>
    <row r="609" spans="1:39" ht="15.75" customHeight="1" x14ac:dyDescent="0.2">
      <c r="A609" s="5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5"/>
      <c r="AF609" s="5"/>
      <c r="AG609" s="5"/>
      <c r="AH609" s="5"/>
      <c r="AI609" s="5"/>
      <c r="AJ609" s="5"/>
      <c r="AK609" s="5"/>
      <c r="AL609" s="5"/>
      <c r="AM609" s="5"/>
    </row>
    <row r="610" spans="1:39" ht="15.75" customHeight="1" x14ac:dyDescent="0.2">
      <c r="A610" s="5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5"/>
      <c r="AF610" s="5"/>
      <c r="AG610" s="5"/>
      <c r="AH610" s="5"/>
      <c r="AI610" s="5"/>
      <c r="AJ610" s="5"/>
      <c r="AK610" s="5"/>
      <c r="AL610" s="5"/>
      <c r="AM610" s="5"/>
    </row>
    <row r="611" spans="1:39" ht="15.75" customHeight="1" x14ac:dyDescent="0.2">
      <c r="A611" s="5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5"/>
      <c r="AF611" s="5"/>
      <c r="AG611" s="5"/>
      <c r="AH611" s="5"/>
      <c r="AI611" s="5"/>
      <c r="AJ611" s="5"/>
      <c r="AK611" s="5"/>
      <c r="AL611" s="5"/>
      <c r="AM611" s="5"/>
    </row>
    <row r="612" spans="1:39" ht="15.75" customHeight="1" x14ac:dyDescent="0.2">
      <c r="A612" s="5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5"/>
      <c r="AF612" s="5"/>
      <c r="AG612" s="5"/>
      <c r="AH612" s="5"/>
      <c r="AI612" s="5"/>
      <c r="AJ612" s="5"/>
      <c r="AK612" s="5"/>
      <c r="AL612" s="5"/>
      <c r="AM612" s="5"/>
    </row>
    <row r="613" spans="1:39" ht="15.75" customHeight="1" x14ac:dyDescent="0.2">
      <c r="A613" s="5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5"/>
      <c r="AF613" s="5"/>
      <c r="AG613" s="5"/>
      <c r="AH613" s="5"/>
      <c r="AI613" s="5"/>
      <c r="AJ613" s="5"/>
      <c r="AK613" s="5"/>
      <c r="AL613" s="5"/>
      <c r="AM613" s="5"/>
    </row>
    <row r="614" spans="1:39" ht="15.75" customHeight="1" x14ac:dyDescent="0.2">
      <c r="A614" s="5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5"/>
      <c r="AF614" s="5"/>
      <c r="AG614" s="5"/>
      <c r="AH614" s="5"/>
      <c r="AI614" s="5"/>
      <c r="AJ614" s="5"/>
      <c r="AK614" s="5"/>
      <c r="AL614" s="5"/>
      <c r="AM614" s="5"/>
    </row>
    <row r="615" spans="1:39" ht="15.75" customHeight="1" x14ac:dyDescent="0.2">
      <c r="A615" s="5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5"/>
      <c r="AF615" s="5"/>
      <c r="AG615" s="5"/>
      <c r="AH615" s="5"/>
      <c r="AI615" s="5"/>
      <c r="AJ615" s="5"/>
      <c r="AK615" s="5"/>
      <c r="AL615" s="5"/>
      <c r="AM615" s="5"/>
    </row>
    <row r="616" spans="1:39" ht="15.75" customHeight="1" x14ac:dyDescent="0.2">
      <c r="A616" s="5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5"/>
      <c r="AF616" s="5"/>
      <c r="AG616" s="5"/>
      <c r="AH616" s="5"/>
      <c r="AI616" s="5"/>
      <c r="AJ616" s="5"/>
      <c r="AK616" s="5"/>
      <c r="AL616" s="5"/>
      <c r="AM616" s="5"/>
    </row>
    <row r="617" spans="1:39" ht="15.75" customHeight="1" x14ac:dyDescent="0.2">
      <c r="A617" s="5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5"/>
      <c r="AF617" s="5"/>
      <c r="AG617" s="5"/>
      <c r="AH617" s="5"/>
      <c r="AI617" s="5"/>
      <c r="AJ617" s="5"/>
      <c r="AK617" s="5"/>
      <c r="AL617" s="5"/>
      <c r="AM617" s="5"/>
    </row>
    <row r="618" spans="1:39" ht="15.75" customHeight="1" x14ac:dyDescent="0.2">
      <c r="A618" s="5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5"/>
      <c r="AF618" s="5"/>
      <c r="AG618" s="5"/>
      <c r="AH618" s="5"/>
      <c r="AI618" s="5"/>
      <c r="AJ618" s="5"/>
      <c r="AK618" s="5"/>
      <c r="AL618" s="5"/>
      <c r="AM618" s="5"/>
    </row>
    <row r="619" spans="1:39" ht="15.75" customHeight="1" x14ac:dyDescent="0.2">
      <c r="A619" s="5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5"/>
      <c r="AF619" s="5"/>
      <c r="AG619" s="5"/>
      <c r="AH619" s="5"/>
      <c r="AI619" s="5"/>
      <c r="AJ619" s="5"/>
      <c r="AK619" s="5"/>
      <c r="AL619" s="5"/>
      <c r="AM619" s="5"/>
    </row>
    <row r="620" spans="1:39" ht="15.75" customHeight="1" x14ac:dyDescent="0.2">
      <c r="A620" s="5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5"/>
      <c r="AF620" s="5"/>
      <c r="AG620" s="5"/>
      <c r="AH620" s="5"/>
      <c r="AI620" s="5"/>
      <c r="AJ620" s="5"/>
      <c r="AK620" s="5"/>
      <c r="AL620" s="5"/>
      <c r="AM620" s="5"/>
    </row>
    <row r="621" spans="1:39" ht="15.75" customHeight="1" x14ac:dyDescent="0.2">
      <c r="A621" s="5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5"/>
      <c r="AF621" s="5"/>
      <c r="AG621" s="5"/>
      <c r="AH621" s="5"/>
      <c r="AI621" s="5"/>
      <c r="AJ621" s="5"/>
      <c r="AK621" s="5"/>
      <c r="AL621" s="5"/>
      <c r="AM621" s="5"/>
    </row>
    <row r="622" spans="1:39" ht="15.75" customHeight="1" x14ac:dyDescent="0.2">
      <c r="A622" s="5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5"/>
      <c r="AF622" s="5"/>
      <c r="AG622" s="5"/>
      <c r="AH622" s="5"/>
      <c r="AI622" s="5"/>
      <c r="AJ622" s="5"/>
      <c r="AK622" s="5"/>
      <c r="AL622" s="5"/>
      <c r="AM622" s="5"/>
    </row>
    <row r="623" spans="1:39" ht="15.75" customHeight="1" x14ac:dyDescent="0.2">
      <c r="A623" s="5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5"/>
      <c r="AF623" s="5"/>
      <c r="AG623" s="5"/>
      <c r="AH623" s="5"/>
      <c r="AI623" s="5"/>
      <c r="AJ623" s="5"/>
      <c r="AK623" s="5"/>
      <c r="AL623" s="5"/>
      <c r="AM623" s="5"/>
    </row>
    <row r="624" spans="1:39" ht="15.75" customHeight="1" x14ac:dyDescent="0.2">
      <c r="A624" s="5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5"/>
      <c r="AF624" s="5"/>
      <c r="AG624" s="5"/>
      <c r="AH624" s="5"/>
      <c r="AI624" s="5"/>
      <c r="AJ624" s="5"/>
      <c r="AK624" s="5"/>
      <c r="AL624" s="5"/>
      <c r="AM624" s="5"/>
    </row>
    <row r="625" spans="1:39" ht="15.75" customHeight="1" x14ac:dyDescent="0.2">
      <c r="A625" s="5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5"/>
      <c r="AF625" s="5"/>
      <c r="AG625" s="5"/>
      <c r="AH625" s="5"/>
      <c r="AI625" s="5"/>
      <c r="AJ625" s="5"/>
      <c r="AK625" s="5"/>
      <c r="AL625" s="5"/>
      <c r="AM625" s="5"/>
    </row>
    <row r="626" spans="1:39" ht="15.75" customHeight="1" x14ac:dyDescent="0.2">
      <c r="A626" s="5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5"/>
      <c r="AF626" s="5"/>
      <c r="AG626" s="5"/>
      <c r="AH626" s="5"/>
      <c r="AI626" s="5"/>
      <c r="AJ626" s="5"/>
      <c r="AK626" s="5"/>
      <c r="AL626" s="5"/>
      <c r="AM626" s="5"/>
    </row>
    <row r="627" spans="1:39" ht="15.75" customHeight="1" x14ac:dyDescent="0.2">
      <c r="A627" s="5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5"/>
      <c r="AF627" s="5"/>
      <c r="AG627" s="5"/>
      <c r="AH627" s="5"/>
      <c r="AI627" s="5"/>
      <c r="AJ627" s="5"/>
      <c r="AK627" s="5"/>
      <c r="AL627" s="5"/>
      <c r="AM627" s="5"/>
    </row>
    <row r="628" spans="1:39" ht="15.75" customHeight="1" x14ac:dyDescent="0.2">
      <c r="A628" s="5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5"/>
      <c r="AF628" s="5"/>
      <c r="AG628" s="5"/>
      <c r="AH628" s="5"/>
      <c r="AI628" s="5"/>
      <c r="AJ628" s="5"/>
      <c r="AK628" s="5"/>
      <c r="AL628" s="5"/>
      <c r="AM628" s="5"/>
    </row>
    <row r="629" spans="1:39" ht="15.75" customHeight="1" x14ac:dyDescent="0.2">
      <c r="A629" s="5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5"/>
      <c r="AF629" s="5"/>
      <c r="AG629" s="5"/>
      <c r="AH629" s="5"/>
      <c r="AI629" s="5"/>
      <c r="AJ629" s="5"/>
      <c r="AK629" s="5"/>
      <c r="AL629" s="5"/>
      <c r="AM629" s="5"/>
    </row>
    <row r="630" spans="1:39" ht="15.75" customHeight="1" x14ac:dyDescent="0.2">
      <c r="A630" s="5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5"/>
      <c r="AF630" s="5"/>
      <c r="AG630" s="5"/>
      <c r="AH630" s="5"/>
      <c r="AI630" s="5"/>
      <c r="AJ630" s="5"/>
      <c r="AK630" s="5"/>
      <c r="AL630" s="5"/>
      <c r="AM630" s="5"/>
    </row>
    <row r="631" spans="1:39" ht="15.75" customHeight="1" x14ac:dyDescent="0.2">
      <c r="A631" s="5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5"/>
      <c r="AF631" s="5"/>
      <c r="AG631" s="5"/>
      <c r="AH631" s="5"/>
      <c r="AI631" s="5"/>
      <c r="AJ631" s="5"/>
      <c r="AK631" s="5"/>
      <c r="AL631" s="5"/>
      <c r="AM631" s="5"/>
    </row>
    <row r="632" spans="1:39" ht="15.75" customHeight="1" x14ac:dyDescent="0.2">
      <c r="A632" s="5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5"/>
      <c r="AF632" s="5"/>
      <c r="AG632" s="5"/>
      <c r="AH632" s="5"/>
      <c r="AI632" s="5"/>
      <c r="AJ632" s="5"/>
      <c r="AK632" s="5"/>
      <c r="AL632" s="5"/>
      <c r="AM632" s="5"/>
    </row>
    <row r="633" spans="1:39" ht="15.75" customHeight="1" x14ac:dyDescent="0.2">
      <c r="A633" s="5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5"/>
      <c r="AF633" s="5"/>
      <c r="AG633" s="5"/>
      <c r="AH633" s="5"/>
      <c r="AI633" s="5"/>
      <c r="AJ633" s="5"/>
      <c r="AK633" s="5"/>
      <c r="AL633" s="5"/>
      <c r="AM633" s="5"/>
    </row>
    <row r="634" spans="1:39" ht="15.75" customHeight="1" x14ac:dyDescent="0.2">
      <c r="A634" s="5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5"/>
      <c r="AF634" s="5"/>
      <c r="AG634" s="5"/>
      <c r="AH634" s="5"/>
      <c r="AI634" s="5"/>
      <c r="AJ634" s="5"/>
      <c r="AK634" s="5"/>
      <c r="AL634" s="5"/>
      <c r="AM634" s="5"/>
    </row>
    <row r="635" spans="1:39" ht="15.75" customHeight="1" x14ac:dyDescent="0.2">
      <c r="A635" s="5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5"/>
      <c r="AF635" s="5"/>
      <c r="AG635" s="5"/>
      <c r="AH635" s="5"/>
      <c r="AI635" s="5"/>
      <c r="AJ635" s="5"/>
      <c r="AK635" s="5"/>
      <c r="AL635" s="5"/>
      <c r="AM635" s="5"/>
    </row>
    <row r="636" spans="1:39" ht="15.75" customHeight="1" x14ac:dyDescent="0.2">
      <c r="A636" s="5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5"/>
      <c r="AF636" s="5"/>
      <c r="AG636" s="5"/>
      <c r="AH636" s="5"/>
      <c r="AI636" s="5"/>
      <c r="AJ636" s="5"/>
      <c r="AK636" s="5"/>
      <c r="AL636" s="5"/>
      <c r="AM636" s="5"/>
    </row>
    <row r="637" spans="1:39" ht="15.75" customHeight="1" x14ac:dyDescent="0.2">
      <c r="A637" s="5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5"/>
      <c r="AF637" s="5"/>
      <c r="AG637" s="5"/>
      <c r="AH637" s="5"/>
      <c r="AI637" s="5"/>
      <c r="AJ637" s="5"/>
      <c r="AK637" s="5"/>
      <c r="AL637" s="5"/>
      <c r="AM637" s="5"/>
    </row>
    <row r="638" spans="1:39" ht="15.75" customHeight="1" x14ac:dyDescent="0.2">
      <c r="A638" s="5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5"/>
      <c r="AF638" s="5"/>
      <c r="AG638" s="5"/>
      <c r="AH638" s="5"/>
      <c r="AI638" s="5"/>
      <c r="AJ638" s="5"/>
      <c r="AK638" s="5"/>
      <c r="AL638" s="5"/>
      <c r="AM638" s="5"/>
    </row>
    <row r="639" spans="1:39" ht="15.75" customHeight="1" x14ac:dyDescent="0.2">
      <c r="A639" s="5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5"/>
      <c r="AF639" s="5"/>
      <c r="AG639" s="5"/>
      <c r="AH639" s="5"/>
      <c r="AI639" s="5"/>
      <c r="AJ639" s="5"/>
      <c r="AK639" s="5"/>
      <c r="AL639" s="5"/>
      <c r="AM639" s="5"/>
    </row>
    <row r="640" spans="1:39" ht="15.75" customHeight="1" x14ac:dyDescent="0.2">
      <c r="A640" s="5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5"/>
      <c r="AF640" s="5"/>
      <c r="AG640" s="5"/>
      <c r="AH640" s="5"/>
      <c r="AI640" s="5"/>
      <c r="AJ640" s="5"/>
      <c r="AK640" s="5"/>
      <c r="AL640" s="5"/>
      <c r="AM640" s="5"/>
    </row>
    <row r="641" spans="1:39" ht="15.75" customHeight="1" x14ac:dyDescent="0.2">
      <c r="A641" s="5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5"/>
      <c r="AF641" s="5"/>
      <c r="AG641" s="5"/>
      <c r="AH641" s="5"/>
      <c r="AI641" s="5"/>
      <c r="AJ641" s="5"/>
      <c r="AK641" s="5"/>
      <c r="AL641" s="5"/>
      <c r="AM641" s="5"/>
    </row>
    <row r="642" spans="1:39" ht="15.75" customHeight="1" x14ac:dyDescent="0.2">
      <c r="A642" s="5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5"/>
      <c r="AF642" s="5"/>
      <c r="AG642" s="5"/>
      <c r="AH642" s="5"/>
      <c r="AI642" s="5"/>
      <c r="AJ642" s="5"/>
      <c r="AK642" s="5"/>
      <c r="AL642" s="5"/>
      <c r="AM642" s="5"/>
    </row>
    <row r="643" spans="1:39" ht="15.75" customHeight="1" x14ac:dyDescent="0.2">
      <c r="A643" s="5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5"/>
      <c r="AF643" s="5"/>
      <c r="AG643" s="5"/>
      <c r="AH643" s="5"/>
      <c r="AI643" s="5"/>
      <c r="AJ643" s="5"/>
      <c r="AK643" s="5"/>
      <c r="AL643" s="5"/>
      <c r="AM643" s="5"/>
    </row>
    <row r="644" spans="1:39" ht="15.75" customHeight="1" x14ac:dyDescent="0.2">
      <c r="A644" s="5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5"/>
      <c r="AF644" s="5"/>
      <c r="AG644" s="5"/>
      <c r="AH644" s="5"/>
      <c r="AI644" s="5"/>
      <c r="AJ644" s="5"/>
      <c r="AK644" s="5"/>
      <c r="AL644" s="5"/>
      <c r="AM644" s="5"/>
    </row>
    <row r="645" spans="1:39" ht="15.75" customHeight="1" x14ac:dyDescent="0.2">
      <c r="A645" s="5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5"/>
      <c r="AF645" s="5"/>
      <c r="AG645" s="5"/>
      <c r="AH645" s="5"/>
      <c r="AI645" s="5"/>
      <c r="AJ645" s="5"/>
      <c r="AK645" s="5"/>
      <c r="AL645" s="5"/>
      <c r="AM645" s="5"/>
    </row>
    <row r="646" spans="1:39" ht="15.75" customHeight="1" x14ac:dyDescent="0.2">
      <c r="A646" s="5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5"/>
      <c r="AF646" s="5"/>
      <c r="AG646" s="5"/>
      <c r="AH646" s="5"/>
      <c r="AI646" s="5"/>
      <c r="AJ646" s="5"/>
      <c r="AK646" s="5"/>
      <c r="AL646" s="5"/>
      <c r="AM646" s="5"/>
    </row>
    <row r="647" spans="1:39" ht="15.75" customHeight="1" x14ac:dyDescent="0.2">
      <c r="A647" s="5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5"/>
      <c r="AF647" s="5"/>
      <c r="AG647" s="5"/>
      <c r="AH647" s="5"/>
      <c r="AI647" s="5"/>
      <c r="AJ647" s="5"/>
      <c r="AK647" s="5"/>
      <c r="AL647" s="5"/>
      <c r="AM647" s="5"/>
    </row>
    <row r="648" spans="1:39" ht="15.75" customHeight="1" x14ac:dyDescent="0.2">
      <c r="A648" s="5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5"/>
      <c r="AF648" s="5"/>
      <c r="AG648" s="5"/>
      <c r="AH648" s="5"/>
      <c r="AI648" s="5"/>
      <c r="AJ648" s="5"/>
      <c r="AK648" s="5"/>
      <c r="AL648" s="5"/>
      <c r="AM648" s="5"/>
    </row>
    <row r="649" spans="1:39" ht="15.75" customHeight="1" x14ac:dyDescent="0.2">
      <c r="A649" s="5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5"/>
      <c r="AF649" s="5"/>
      <c r="AG649" s="5"/>
      <c r="AH649" s="5"/>
      <c r="AI649" s="5"/>
      <c r="AJ649" s="5"/>
      <c r="AK649" s="5"/>
      <c r="AL649" s="5"/>
      <c r="AM649" s="5"/>
    </row>
    <row r="650" spans="1:39" ht="15.75" customHeight="1" x14ac:dyDescent="0.2">
      <c r="A650" s="5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5"/>
      <c r="AF650" s="5"/>
      <c r="AG650" s="5"/>
      <c r="AH650" s="5"/>
      <c r="AI650" s="5"/>
      <c r="AJ650" s="5"/>
      <c r="AK650" s="5"/>
      <c r="AL650" s="5"/>
      <c r="AM650" s="5"/>
    </row>
    <row r="651" spans="1:39" ht="15.75" customHeight="1" x14ac:dyDescent="0.2">
      <c r="A651" s="5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5"/>
      <c r="AF651" s="5"/>
      <c r="AG651" s="5"/>
      <c r="AH651" s="5"/>
      <c r="AI651" s="5"/>
      <c r="AJ651" s="5"/>
      <c r="AK651" s="5"/>
      <c r="AL651" s="5"/>
      <c r="AM651" s="5"/>
    </row>
    <row r="652" spans="1:39" ht="15.75" customHeight="1" x14ac:dyDescent="0.2">
      <c r="A652" s="5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5"/>
      <c r="AF652" s="5"/>
      <c r="AG652" s="5"/>
      <c r="AH652" s="5"/>
      <c r="AI652" s="5"/>
      <c r="AJ652" s="5"/>
      <c r="AK652" s="5"/>
      <c r="AL652" s="5"/>
      <c r="AM652" s="5"/>
    </row>
    <row r="653" spans="1:39" ht="15.75" customHeight="1" x14ac:dyDescent="0.2">
      <c r="A653" s="5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5"/>
      <c r="AF653" s="5"/>
      <c r="AG653" s="5"/>
      <c r="AH653" s="5"/>
      <c r="AI653" s="5"/>
      <c r="AJ653" s="5"/>
      <c r="AK653" s="5"/>
      <c r="AL653" s="5"/>
      <c r="AM653" s="5"/>
    </row>
    <row r="654" spans="1:39" ht="15.75" customHeight="1" x14ac:dyDescent="0.2">
      <c r="A654" s="5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5"/>
      <c r="AF654" s="5"/>
      <c r="AG654" s="5"/>
      <c r="AH654" s="5"/>
      <c r="AI654" s="5"/>
      <c r="AJ654" s="5"/>
      <c r="AK654" s="5"/>
      <c r="AL654" s="5"/>
      <c r="AM654" s="5"/>
    </row>
    <row r="655" spans="1:39" ht="15.75" customHeight="1" x14ac:dyDescent="0.2">
      <c r="A655" s="5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5"/>
      <c r="AF655" s="5"/>
      <c r="AG655" s="5"/>
      <c r="AH655" s="5"/>
      <c r="AI655" s="5"/>
      <c r="AJ655" s="5"/>
      <c r="AK655" s="5"/>
      <c r="AL655" s="5"/>
      <c r="AM655" s="5"/>
    </row>
    <row r="656" spans="1:39" ht="15.75" customHeight="1" x14ac:dyDescent="0.2">
      <c r="A656" s="5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5"/>
      <c r="AF656" s="5"/>
      <c r="AG656" s="5"/>
      <c r="AH656" s="5"/>
      <c r="AI656" s="5"/>
      <c r="AJ656" s="5"/>
      <c r="AK656" s="5"/>
      <c r="AL656" s="5"/>
      <c r="AM656" s="5"/>
    </row>
    <row r="657" spans="1:39" ht="15.75" customHeight="1" x14ac:dyDescent="0.2">
      <c r="A657" s="5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5"/>
      <c r="AF657" s="5"/>
      <c r="AG657" s="5"/>
      <c r="AH657" s="5"/>
      <c r="AI657" s="5"/>
      <c r="AJ657" s="5"/>
      <c r="AK657" s="5"/>
      <c r="AL657" s="5"/>
      <c r="AM657" s="5"/>
    </row>
    <row r="658" spans="1:39" ht="15.75" customHeight="1" x14ac:dyDescent="0.2">
      <c r="A658" s="5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5"/>
      <c r="AF658" s="5"/>
      <c r="AG658" s="5"/>
      <c r="AH658" s="5"/>
      <c r="AI658" s="5"/>
      <c r="AJ658" s="5"/>
      <c r="AK658" s="5"/>
      <c r="AL658" s="5"/>
      <c r="AM658" s="5"/>
    </row>
    <row r="659" spans="1:39" ht="15.75" customHeight="1" x14ac:dyDescent="0.2">
      <c r="A659" s="5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5"/>
      <c r="AF659" s="5"/>
      <c r="AG659" s="5"/>
      <c r="AH659" s="5"/>
      <c r="AI659" s="5"/>
      <c r="AJ659" s="5"/>
      <c r="AK659" s="5"/>
      <c r="AL659" s="5"/>
      <c r="AM659" s="5"/>
    </row>
    <row r="660" spans="1:39" ht="15.75" customHeight="1" x14ac:dyDescent="0.2">
      <c r="A660" s="5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5"/>
      <c r="AF660" s="5"/>
      <c r="AG660" s="5"/>
      <c r="AH660" s="5"/>
      <c r="AI660" s="5"/>
      <c r="AJ660" s="5"/>
      <c r="AK660" s="5"/>
      <c r="AL660" s="5"/>
      <c r="AM660" s="5"/>
    </row>
    <row r="661" spans="1:39" ht="15.75" customHeight="1" x14ac:dyDescent="0.2">
      <c r="A661" s="5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5"/>
      <c r="AF661" s="5"/>
      <c r="AG661" s="5"/>
      <c r="AH661" s="5"/>
      <c r="AI661" s="5"/>
      <c r="AJ661" s="5"/>
      <c r="AK661" s="5"/>
      <c r="AL661" s="5"/>
      <c r="AM661" s="5"/>
    </row>
    <row r="662" spans="1:39" ht="15.75" customHeight="1" x14ac:dyDescent="0.2">
      <c r="A662" s="5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5"/>
      <c r="AF662" s="5"/>
      <c r="AG662" s="5"/>
      <c r="AH662" s="5"/>
      <c r="AI662" s="5"/>
      <c r="AJ662" s="5"/>
      <c r="AK662" s="5"/>
      <c r="AL662" s="5"/>
      <c r="AM662" s="5"/>
    </row>
    <row r="663" spans="1:39" ht="15.75" customHeight="1" x14ac:dyDescent="0.2">
      <c r="A663" s="5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5"/>
      <c r="AF663" s="5"/>
      <c r="AG663" s="5"/>
      <c r="AH663" s="5"/>
      <c r="AI663" s="5"/>
      <c r="AJ663" s="5"/>
      <c r="AK663" s="5"/>
      <c r="AL663" s="5"/>
      <c r="AM663" s="5"/>
    </row>
    <row r="664" spans="1:39" ht="15.75" customHeight="1" x14ac:dyDescent="0.2">
      <c r="A664" s="5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5"/>
      <c r="AF664" s="5"/>
      <c r="AG664" s="5"/>
      <c r="AH664" s="5"/>
      <c r="AI664" s="5"/>
      <c r="AJ664" s="5"/>
      <c r="AK664" s="5"/>
      <c r="AL664" s="5"/>
      <c r="AM664" s="5"/>
    </row>
    <row r="665" spans="1:39" ht="15.75" customHeight="1" x14ac:dyDescent="0.2">
      <c r="A665" s="5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5"/>
      <c r="AF665" s="5"/>
      <c r="AG665" s="5"/>
      <c r="AH665" s="5"/>
      <c r="AI665" s="5"/>
      <c r="AJ665" s="5"/>
      <c r="AK665" s="5"/>
      <c r="AL665" s="5"/>
      <c r="AM665" s="5"/>
    </row>
    <row r="666" spans="1:39" ht="15.75" customHeight="1" x14ac:dyDescent="0.2">
      <c r="A666" s="5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5"/>
      <c r="AF666" s="5"/>
      <c r="AG666" s="5"/>
      <c r="AH666" s="5"/>
      <c r="AI666" s="5"/>
      <c r="AJ666" s="5"/>
      <c r="AK666" s="5"/>
      <c r="AL666" s="5"/>
      <c r="AM666" s="5"/>
    </row>
    <row r="667" spans="1:39" ht="15.75" customHeight="1" x14ac:dyDescent="0.2">
      <c r="A667" s="5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5"/>
      <c r="AF667" s="5"/>
      <c r="AG667" s="5"/>
      <c r="AH667" s="5"/>
      <c r="AI667" s="5"/>
      <c r="AJ667" s="5"/>
      <c r="AK667" s="5"/>
      <c r="AL667" s="5"/>
      <c r="AM667" s="5"/>
    </row>
    <row r="668" spans="1:39" ht="15.75" customHeight="1" x14ac:dyDescent="0.2">
      <c r="A668" s="5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5"/>
      <c r="AF668" s="5"/>
      <c r="AG668" s="5"/>
      <c r="AH668" s="5"/>
      <c r="AI668" s="5"/>
      <c r="AJ668" s="5"/>
      <c r="AK668" s="5"/>
      <c r="AL668" s="5"/>
      <c r="AM668" s="5"/>
    </row>
    <row r="669" spans="1:39" ht="15.75" customHeight="1" x14ac:dyDescent="0.2">
      <c r="A669" s="5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5"/>
      <c r="AF669" s="5"/>
      <c r="AG669" s="5"/>
      <c r="AH669" s="5"/>
      <c r="AI669" s="5"/>
      <c r="AJ669" s="5"/>
      <c r="AK669" s="5"/>
      <c r="AL669" s="5"/>
      <c r="AM669" s="5"/>
    </row>
    <row r="670" spans="1:39" ht="15.75" customHeight="1" x14ac:dyDescent="0.2">
      <c r="A670" s="5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5"/>
      <c r="AF670" s="5"/>
      <c r="AG670" s="5"/>
      <c r="AH670" s="5"/>
      <c r="AI670" s="5"/>
      <c r="AJ670" s="5"/>
      <c r="AK670" s="5"/>
      <c r="AL670" s="5"/>
      <c r="AM670" s="5"/>
    </row>
    <row r="671" spans="1:39" ht="15.75" customHeight="1" x14ac:dyDescent="0.2">
      <c r="A671" s="5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5"/>
      <c r="AF671" s="5"/>
      <c r="AG671" s="5"/>
      <c r="AH671" s="5"/>
      <c r="AI671" s="5"/>
      <c r="AJ671" s="5"/>
      <c r="AK671" s="5"/>
      <c r="AL671" s="5"/>
      <c r="AM671" s="5"/>
    </row>
    <row r="672" spans="1:39" ht="15.75" customHeight="1" x14ac:dyDescent="0.2">
      <c r="A672" s="5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5"/>
      <c r="AF672" s="5"/>
      <c r="AG672" s="5"/>
      <c r="AH672" s="5"/>
      <c r="AI672" s="5"/>
      <c r="AJ672" s="5"/>
      <c r="AK672" s="5"/>
      <c r="AL672" s="5"/>
      <c r="AM672" s="5"/>
    </row>
    <row r="673" spans="1:39" ht="15.75" customHeight="1" x14ac:dyDescent="0.2">
      <c r="A673" s="5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5"/>
      <c r="AF673" s="5"/>
      <c r="AG673" s="5"/>
      <c r="AH673" s="5"/>
      <c r="AI673" s="5"/>
      <c r="AJ673" s="5"/>
      <c r="AK673" s="5"/>
      <c r="AL673" s="5"/>
      <c r="AM673" s="5"/>
    </row>
    <row r="674" spans="1:39" ht="15.75" customHeight="1" x14ac:dyDescent="0.2">
      <c r="A674" s="5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5"/>
      <c r="AF674" s="5"/>
      <c r="AG674" s="5"/>
      <c r="AH674" s="5"/>
      <c r="AI674" s="5"/>
      <c r="AJ674" s="5"/>
      <c r="AK674" s="5"/>
      <c r="AL674" s="5"/>
      <c r="AM674" s="5"/>
    </row>
    <row r="675" spans="1:39" ht="15.75" customHeight="1" x14ac:dyDescent="0.2">
      <c r="A675" s="5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5"/>
      <c r="AF675" s="5"/>
      <c r="AG675" s="5"/>
      <c r="AH675" s="5"/>
      <c r="AI675" s="5"/>
      <c r="AJ675" s="5"/>
      <c r="AK675" s="5"/>
      <c r="AL675" s="5"/>
      <c r="AM675" s="5"/>
    </row>
    <row r="676" spans="1:39" ht="15.75" customHeight="1" x14ac:dyDescent="0.2">
      <c r="A676" s="5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5"/>
      <c r="AF676" s="5"/>
      <c r="AG676" s="5"/>
      <c r="AH676" s="5"/>
      <c r="AI676" s="5"/>
      <c r="AJ676" s="5"/>
      <c r="AK676" s="5"/>
      <c r="AL676" s="5"/>
      <c r="AM676" s="5"/>
    </row>
    <row r="677" spans="1:39" ht="15.75" customHeight="1" x14ac:dyDescent="0.2">
      <c r="A677" s="5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5"/>
      <c r="AF677" s="5"/>
      <c r="AG677" s="5"/>
      <c r="AH677" s="5"/>
      <c r="AI677" s="5"/>
      <c r="AJ677" s="5"/>
      <c r="AK677" s="5"/>
      <c r="AL677" s="5"/>
      <c r="AM677" s="5"/>
    </row>
    <row r="678" spans="1:39" ht="15.75" customHeight="1" x14ac:dyDescent="0.2">
      <c r="A678" s="5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5"/>
      <c r="AF678" s="5"/>
      <c r="AG678" s="5"/>
      <c r="AH678" s="5"/>
      <c r="AI678" s="5"/>
      <c r="AJ678" s="5"/>
      <c r="AK678" s="5"/>
      <c r="AL678" s="5"/>
      <c r="AM678" s="5"/>
    </row>
    <row r="679" spans="1:39" ht="15.75" customHeight="1" x14ac:dyDescent="0.2">
      <c r="A679" s="5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5"/>
      <c r="AF679" s="5"/>
      <c r="AG679" s="5"/>
      <c r="AH679" s="5"/>
      <c r="AI679" s="5"/>
      <c r="AJ679" s="5"/>
      <c r="AK679" s="5"/>
      <c r="AL679" s="5"/>
      <c r="AM679" s="5"/>
    </row>
    <row r="680" spans="1:39" ht="15.75" customHeight="1" x14ac:dyDescent="0.2">
      <c r="A680" s="5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5"/>
      <c r="AF680" s="5"/>
      <c r="AG680" s="5"/>
      <c r="AH680" s="5"/>
      <c r="AI680" s="5"/>
      <c r="AJ680" s="5"/>
      <c r="AK680" s="5"/>
      <c r="AL680" s="5"/>
      <c r="AM680" s="5"/>
    </row>
    <row r="681" spans="1:39" ht="15.75" customHeight="1" x14ac:dyDescent="0.2">
      <c r="A681" s="5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5"/>
      <c r="AF681" s="5"/>
      <c r="AG681" s="5"/>
      <c r="AH681" s="5"/>
      <c r="AI681" s="5"/>
      <c r="AJ681" s="5"/>
      <c r="AK681" s="5"/>
      <c r="AL681" s="5"/>
      <c r="AM681" s="5"/>
    </row>
    <row r="682" spans="1:39" ht="15.75" customHeight="1" x14ac:dyDescent="0.2">
      <c r="A682" s="5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5"/>
      <c r="AF682" s="5"/>
      <c r="AG682" s="5"/>
      <c r="AH682" s="5"/>
      <c r="AI682" s="5"/>
      <c r="AJ682" s="5"/>
      <c r="AK682" s="5"/>
      <c r="AL682" s="5"/>
      <c r="AM682" s="5"/>
    </row>
    <row r="683" spans="1:39" ht="15.75" customHeight="1" x14ac:dyDescent="0.2">
      <c r="A683" s="5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5"/>
      <c r="AF683" s="5"/>
      <c r="AG683" s="5"/>
      <c r="AH683" s="5"/>
      <c r="AI683" s="5"/>
      <c r="AJ683" s="5"/>
      <c r="AK683" s="5"/>
      <c r="AL683" s="5"/>
      <c r="AM683" s="5"/>
    </row>
    <row r="684" spans="1:39" ht="15.75" customHeight="1" x14ac:dyDescent="0.2">
      <c r="A684" s="5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5"/>
      <c r="AF684" s="5"/>
      <c r="AG684" s="5"/>
      <c r="AH684" s="5"/>
      <c r="AI684" s="5"/>
      <c r="AJ684" s="5"/>
      <c r="AK684" s="5"/>
      <c r="AL684" s="5"/>
      <c r="AM684" s="5"/>
    </row>
    <row r="685" spans="1:39" ht="15.75" customHeight="1" x14ac:dyDescent="0.2">
      <c r="A685" s="5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5"/>
      <c r="AF685" s="5"/>
      <c r="AG685" s="5"/>
      <c r="AH685" s="5"/>
      <c r="AI685" s="5"/>
      <c r="AJ685" s="5"/>
      <c r="AK685" s="5"/>
      <c r="AL685" s="5"/>
      <c r="AM685" s="5"/>
    </row>
    <row r="686" spans="1:39" ht="15.75" customHeight="1" x14ac:dyDescent="0.2">
      <c r="A686" s="5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5"/>
      <c r="AF686" s="5"/>
      <c r="AG686" s="5"/>
      <c r="AH686" s="5"/>
      <c r="AI686" s="5"/>
      <c r="AJ686" s="5"/>
      <c r="AK686" s="5"/>
      <c r="AL686" s="5"/>
      <c r="AM686" s="5"/>
    </row>
    <row r="687" spans="1:39" ht="15.75" customHeight="1" x14ac:dyDescent="0.2">
      <c r="A687" s="5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5"/>
      <c r="AF687" s="5"/>
      <c r="AG687" s="5"/>
      <c r="AH687" s="5"/>
      <c r="AI687" s="5"/>
      <c r="AJ687" s="5"/>
      <c r="AK687" s="5"/>
      <c r="AL687" s="5"/>
      <c r="AM687" s="5"/>
    </row>
    <row r="688" spans="1:39" ht="15.75" customHeight="1" x14ac:dyDescent="0.2">
      <c r="A688" s="5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5"/>
      <c r="AF688" s="5"/>
      <c r="AG688" s="5"/>
      <c r="AH688" s="5"/>
      <c r="AI688" s="5"/>
      <c r="AJ688" s="5"/>
      <c r="AK688" s="5"/>
      <c r="AL688" s="5"/>
      <c r="AM688" s="5"/>
    </row>
    <row r="689" spans="1:39" ht="15.75" customHeight="1" x14ac:dyDescent="0.2">
      <c r="A689" s="5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5"/>
      <c r="AF689" s="5"/>
      <c r="AG689" s="5"/>
      <c r="AH689" s="5"/>
      <c r="AI689" s="5"/>
      <c r="AJ689" s="5"/>
      <c r="AK689" s="5"/>
      <c r="AL689" s="5"/>
      <c r="AM689" s="5"/>
    </row>
    <row r="690" spans="1:39" ht="15.75" customHeight="1" x14ac:dyDescent="0.2">
      <c r="A690" s="5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5"/>
      <c r="AF690" s="5"/>
      <c r="AG690" s="5"/>
      <c r="AH690" s="5"/>
      <c r="AI690" s="5"/>
      <c r="AJ690" s="5"/>
      <c r="AK690" s="5"/>
      <c r="AL690" s="5"/>
      <c r="AM690" s="5"/>
    </row>
    <row r="691" spans="1:39" ht="15.75" customHeight="1" x14ac:dyDescent="0.2">
      <c r="A691" s="5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5"/>
      <c r="AF691" s="5"/>
      <c r="AG691" s="5"/>
      <c r="AH691" s="5"/>
      <c r="AI691" s="5"/>
      <c r="AJ691" s="5"/>
      <c r="AK691" s="5"/>
      <c r="AL691" s="5"/>
      <c r="AM691" s="5"/>
    </row>
    <row r="692" spans="1:39" ht="15.75" customHeight="1" x14ac:dyDescent="0.2">
      <c r="A692" s="5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5"/>
      <c r="AF692" s="5"/>
      <c r="AG692" s="5"/>
      <c r="AH692" s="5"/>
      <c r="AI692" s="5"/>
      <c r="AJ692" s="5"/>
      <c r="AK692" s="5"/>
      <c r="AL692" s="5"/>
      <c r="AM692" s="5"/>
    </row>
    <row r="693" spans="1:39" ht="15.75" customHeight="1" x14ac:dyDescent="0.2">
      <c r="A693" s="5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5"/>
      <c r="AF693" s="5"/>
      <c r="AG693" s="5"/>
      <c r="AH693" s="5"/>
      <c r="AI693" s="5"/>
      <c r="AJ693" s="5"/>
      <c r="AK693" s="5"/>
      <c r="AL693" s="5"/>
      <c r="AM693" s="5"/>
    </row>
    <row r="694" spans="1:39" ht="15.75" customHeight="1" x14ac:dyDescent="0.2">
      <c r="A694" s="5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5"/>
      <c r="AF694" s="5"/>
      <c r="AG694" s="5"/>
      <c r="AH694" s="5"/>
      <c r="AI694" s="5"/>
      <c r="AJ694" s="5"/>
      <c r="AK694" s="5"/>
      <c r="AL694" s="5"/>
      <c r="AM694" s="5"/>
    </row>
    <row r="695" spans="1:39" ht="15.75" customHeight="1" x14ac:dyDescent="0.2">
      <c r="A695" s="5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5"/>
      <c r="AF695" s="5"/>
      <c r="AG695" s="5"/>
      <c r="AH695" s="5"/>
      <c r="AI695" s="5"/>
      <c r="AJ695" s="5"/>
      <c r="AK695" s="5"/>
      <c r="AL695" s="5"/>
      <c r="AM695" s="5"/>
    </row>
    <row r="696" spans="1:39" ht="15.75" customHeight="1" x14ac:dyDescent="0.2">
      <c r="A696" s="5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5"/>
      <c r="AF696" s="5"/>
      <c r="AG696" s="5"/>
      <c r="AH696" s="5"/>
      <c r="AI696" s="5"/>
      <c r="AJ696" s="5"/>
      <c r="AK696" s="5"/>
      <c r="AL696" s="5"/>
      <c r="AM696" s="5"/>
    </row>
    <row r="697" spans="1:39" ht="15.75" customHeight="1" x14ac:dyDescent="0.2">
      <c r="A697" s="5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5"/>
      <c r="AF697" s="5"/>
      <c r="AG697" s="5"/>
      <c r="AH697" s="5"/>
      <c r="AI697" s="5"/>
      <c r="AJ697" s="5"/>
      <c r="AK697" s="5"/>
      <c r="AL697" s="5"/>
      <c r="AM697" s="5"/>
    </row>
    <row r="698" spans="1:39" ht="15.75" customHeight="1" x14ac:dyDescent="0.2">
      <c r="A698" s="5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5"/>
      <c r="AF698" s="5"/>
      <c r="AG698" s="5"/>
      <c r="AH698" s="5"/>
      <c r="AI698" s="5"/>
      <c r="AJ698" s="5"/>
      <c r="AK698" s="5"/>
      <c r="AL698" s="5"/>
      <c r="AM698" s="5"/>
    </row>
    <row r="699" spans="1:39" ht="15.75" customHeight="1" x14ac:dyDescent="0.2">
      <c r="A699" s="5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5"/>
      <c r="AF699" s="5"/>
      <c r="AG699" s="5"/>
      <c r="AH699" s="5"/>
      <c r="AI699" s="5"/>
      <c r="AJ699" s="5"/>
      <c r="AK699" s="5"/>
      <c r="AL699" s="5"/>
      <c r="AM699" s="5"/>
    </row>
    <row r="700" spans="1:39" ht="15.75" customHeight="1" x14ac:dyDescent="0.2">
      <c r="A700" s="5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5"/>
      <c r="AF700" s="5"/>
      <c r="AG700" s="5"/>
      <c r="AH700" s="5"/>
      <c r="AI700" s="5"/>
      <c r="AJ700" s="5"/>
      <c r="AK700" s="5"/>
      <c r="AL700" s="5"/>
      <c r="AM700" s="5"/>
    </row>
    <row r="701" spans="1:39" ht="15.75" customHeight="1" x14ac:dyDescent="0.2">
      <c r="A701" s="5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5"/>
      <c r="AF701" s="5"/>
      <c r="AG701" s="5"/>
      <c r="AH701" s="5"/>
      <c r="AI701" s="5"/>
      <c r="AJ701" s="5"/>
      <c r="AK701" s="5"/>
      <c r="AL701" s="5"/>
      <c r="AM701" s="5"/>
    </row>
    <row r="702" spans="1:39" ht="15.75" customHeight="1" x14ac:dyDescent="0.2">
      <c r="A702" s="5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5"/>
      <c r="AF702" s="5"/>
      <c r="AG702" s="5"/>
      <c r="AH702" s="5"/>
      <c r="AI702" s="5"/>
      <c r="AJ702" s="5"/>
      <c r="AK702" s="5"/>
      <c r="AL702" s="5"/>
      <c r="AM702" s="5"/>
    </row>
    <row r="703" spans="1:39" ht="15.75" customHeight="1" x14ac:dyDescent="0.2">
      <c r="A703" s="5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5"/>
      <c r="AF703" s="5"/>
      <c r="AG703" s="5"/>
      <c r="AH703" s="5"/>
      <c r="AI703" s="5"/>
      <c r="AJ703" s="5"/>
      <c r="AK703" s="5"/>
      <c r="AL703" s="5"/>
      <c r="AM703" s="5"/>
    </row>
    <row r="704" spans="1:39" ht="15.75" customHeight="1" x14ac:dyDescent="0.2">
      <c r="A704" s="5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5"/>
      <c r="AF704" s="5"/>
      <c r="AG704" s="5"/>
      <c r="AH704" s="5"/>
      <c r="AI704" s="5"/>
      <c r="AJ704" s="5"/>
      <c r="AK704" s="5"/>
      <c r="AL704" s="5"/>
      <c r="AM704" s="5"/>
    </row>
    <row r="705" spans="1:39" ht="15.75" customHeight="1" x14ac:dyDescent="0.2">
      <c r="A705" s="5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5"/>
      <c r="AF705" s="5"/>
      <c r="AG705" s="5"/>
      <c r="AH705" s="5"/>
      <c r="AI705" s="5"/>
      <c r="AJ705" s="5"/>
      <c r="AK705" s="5"/>
      <c r="AL705" s="5"/>
      <c r="AM705" s="5"/>
    </row>
    <row r="706" spans="1:39" ht="15.75" customHeight="1" x14ac:dyDescent="0.2">
      <c r="A706" s="5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5"/>
      <c r="AF706" s="5"/>
      <c r="AG706" s="5"/>
      <c r="AH706" s="5"/>
      <c r="AI706" s="5"/>
      <c r="AJ706" s="5"/>
      <c r="AK706" s="5"/>
      <c r="AL706" s="5"/>
      <c r="AM706" s="5"/>
    </row>
    <row r="707" spans="1:39" ht="15.75" customHeight="1" x14ac:dyDescent="0.2">
      <c r="A707" s="5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5"/>
      <c r="AF707" s="5"/>
      <c r="AG707" s="5"/>
      <c r="AH707" s="5"/>
      <c r="AI707" s="5"/>
      <c r="AJ707" s="5"/>
      <c r="AK707" s="5"/>
      <c r="AL707" s="5"/>
      <c r="AM707" s="5"/>
    </row>
    <row r="708" spans="1:39" ht="15.75" customHeight="1" x14ac:dyDescent="0.2">
      <c r="A708" s="5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5"/>
      <c r="AF708" s="5"/>
      <c r="AG708" s="5"/>
      <c r="AH708" s="5"/>
      <c r="AI708" s="5"/>
      <c r="AJ708" s="5"/>
      <c r="AK708" s="5"/>
      <c r="AL708" s="5"/>
      <c r="AM708" s="5"/>
    </row>
    <row r="709" spans="1:39" ht="15.75" customHeight="1" x14ac:dyDescent="0.2">
      <c r="A709" s="5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5"/>
      <c r="AF709" s="5"/>
      <c r="AG709" s="5"/>
      <c r="AH709" s="5"/>
      <c r="AI709" s="5"/>
      <c r="AJ709" s="5"/>
      <c r="AK709" s="5"/>
      <c r="AL709" s="5"/>
      <c r="AM709" s="5"/>
    </row>
    <row r="710" spans="1:39" ht="15.75" customHeight="1" x14ac:dyDescent="0.2">
      <c r="A710" s="5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5"/>
      <c r="AF710" s="5"/>
      <c r="AG710" s="5"/>
      <c r="AH710" s="5"/>
      <c r="AI710" s="5"/>
      <c r="AJ710" s="5"/>
      <c r="AK710" s="5"/>
      <c r="AL710" s="5"/>
      <c r="AM710" s="5"/>
    </row>
    <row r="711" spans="1:39" ht="15.75" customHeight="1" x14ac:dyDescent="0.2">
      <c r="A711" s="5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5"/>
      <c r="AF711" s="5"/>
      <c r="AG711" s="5"/>
      <c r="AH711" s="5"/>
      <c r="AI711" s="5"/>
      <c r="AJ711" s="5"/>
      <c r="AK711" s="5"/>
      <c r="AL711" s="5"/>
      <c r="AM711" s="5"/>
    </row>
    <row r="712" spans="1:39" ht="15.75" customHeight="1" x14ac:dyDescent="0.2">
      <c r="A712" s="5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5"/>
      <c r="AF712" s="5"/>
      <c r="AG712" s="5"/>
      <c r="AH712" s="5"/>
      <c r="AI712" s="5"/>
      <c r="AJ712" s="5"/>
      <c r="AK712" s="5"/>
      <c r="AL712" s="5"/>
      <c r="AM712" s="5"/>
    </row>
    <row r="713" spans="1:39" ht="15.75" customHeight="1" x14ac:dyDescent="0.2">
      <c r="A713" s="5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5"/>
      <c r="AF713" s="5"/>
      <c r="AG713" s="5"/>
      <c r="AH713" s="5"/>
      <c r="AI713" s="5"/>
      <c r="AJ713" s="5"/>
      <c r="AK713" s="5"/>
      <c r="AL713" s="5"/>
      <c r="AM713" s="5"/>
    </row>
    <row r="714" spans="1:39" ht="15.75" customHeight="1" x14ac:dyDescent="0.2">
      <c r="A714" s="5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5"/>
      <c r="AF714" s="5"/>
      <c r="AG714" s="5"/>
      <c r="AH714" s="5"/>
      <c r="AI714" s="5"/>
      <c r="AJ714" s="5"/>
      <c r="AK714" s="5"/>
      <c r="AL714" s="5"/>
      <c r="AM714" s="5"/>
    </row>
    <row r="715" spans="1:39" ht="15.75" customHeight="1" x14ac:dyDescent="0.2">
      <c r="A715" s="5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5"/>
      <c r="AF715" s="5"/>
      <c r="AG715" s="5"/>
      <c r="AH715" s="5"/>
      <c r="AI715" s="5"/>
      <c r="AJ715" s="5"/>
      <c r="AK715" s="5"/>
      <c r="AL715" s="5"/>
      <c r="AM715" s="5"/>
    </row>
    <row r="716" spans="1:39" ht="15.75" customHeight="1" x14ac:dyDescent="0.2">
      <c r="A716" s="5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5"/>
      <c r="AF716" s="5"/>
      <c r="AG716" s="5"/>
      <c r="AH716" s="5"/>
      <c r="AI716" s="5"/>
      <c r="AJ716" s="5"/>
      <c r="AK716" s="5"/>
      <c r="AL716" s="5"/>
      <c r="AM716" s="5"/>
    </row>
    <row r="717" spans="1:39" ht="15.75" customHeight="1" x14ac:dyDescent="0.2">
      <c r="A717" s="5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5"/>
      <c r="AF717" s="5"/>
      <c r="AG717" s="5"/>
      <c r="AH717" s="5"/>
      <c r="AI717" s="5"/>
      <c r="AJ717" s="5"/>
      <c r="AK717" s="5"/>
      <c r="AL717" s="5"/>
      <c r="AM717" s="5"/>
    </row>
    <row r="718" spans="1:39" ht="15.75" customHeight="1" x14ac:dyDescent="0.2">
      <c r="A718" s="5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5"/>
      <c r="AF718" s="5"/>
      <c r="AG718" s="5"/>
      <c r="AH718" s="5"/>
      <c r="AI718" s="5"/>
      <c r="AJ718" s="5"/>
      <c r="AK718" s="5"/>
      <c r="AL718" s="5"/>
      <c r="AM718" s="5"/>
    </row>
    <row r="719" spans="1:39" ht="15.75" customHeight="1" x14ac:dyDescent="0.2">
      <c r="A719" s="5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5"/>
      <c r="AF719" s="5"/>
      <c r="AG719" s="5"/>
      <c r="AH719" s="5"/>
      <c r="AI719" s="5"/>
      <c r="AJ719" s="5"/>
      <c r="AK719" s="5"/>
      <c r="AL719" s="5"/>
      <c r="AM719" s="5"/>
    </row>
    <row r="720" spans="1:39" ht="15.75" customHeight="1" x14ac:dyDescent="0.2">
      <c r="A720" s="5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5"/>
      <c r="AF720" s="5"/>
      <c r="AG720" s="5"/>
      <c r="AH720" s="5"/>
      <c r="AI720" s="5"/>
      <c r="AJ720" s="5"/>
      <c r="AK720" s="5"/>
      <c r="AL720" s="5"/>
      <c r="AM720" s="5"/>
    </row>
    <row r="721" spans="1:39" ht="15.75" customHeight="1" x14ac:dyDescent="0.2">
      <c r="A721" s="5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5"/>
      <c r="AF721" s="5"/>
      <c r="AG721" s="5"/>
      <c r="AH721" s="5"/>
      <c r="AI721" s="5"/>
      <c r="AJ721" s="5"/>
      <c r="AK721" s="5"/>
      <c r="AL721" s="5"/>
      <c r="AM721" s="5"/>
    </row>
    <row r="722" spans="1:39" ht="15.75" customHeight="1" x14ac:dyDescent="0.2">
      <c r="A722" s="5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5"/>
      <c r="AF722" s="5"/>
      <c r="AG722" s="5"/>
      <c r="AH722" s="5"/>
      <c r="AI722" s="5"/>
      <c r="AJ722" s="5"/>
      <c r="AK722" s="5"/>
      <c r="AL722" s="5"/>
      <c r="AM722" s="5"/>
    </row>
    <row r="723" spans="1:39" ht="15.75" customHeight="1" x14ac:dyDescent="0.2">
      <c r="A723" s="5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5"/>
      <c r="AF723" s="5"/>
      <c r="AG723" s="5"/>
      <c r="AH723" s="5"/>
      <c r="AI723" s="5"/>
      <c r="AJ723" s="5"/>
      <c r="AK723" s="5"/>
      <c r="AL723" s="5"/>
      <c r="AM723" s="5"/>
    </row>
    <row r="724" spans="1:39" ht="15.75" customHeight="1" x14ac:dyDescent="0.2">
      <c r="A724" s="5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5"/>
      <c r="AF724" s="5"/>
      <c r="AG724" s="5"/>
      <c r="AH724" s="5"/>
      <c r="AI724" s="5"/>
      <c r="AJ724" s="5"/>
      <c r="AK724" s="5"/>
      <c r="AL724" s="5"/>
      <c r="AM724" s="5"/>
    </row>
    <row r="725" spans="1:39" ht="15.75" customHeight="1" x14ac:dyDescent="0.2">
      <c r="A725" s="5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5"/>
      <c r="AF725" s="5"/>
      <c r="AG725" s="5"/>
      <c r="AH725" s="5"/>
      <c r="AI725" s="5"/>
      <c r="AJ725" s="5"/>
      <c r="AK725" s="5"/>
      <c r="AL725" s="5"/>
      <c r="AM725" s="5"/>
    </row>
    <row r="726" spans="1:39" ht="15.75" customHeight="1" x14ac:dyDescent="0.2">
      <c r="A726" s="5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5"/>
      <c r="AF726" s="5"/>
      <c r="AG726" s="5"/>
      <c r="AH726" s="5"/>
      <c r="AI726" s="5"/>
      <c r="AJ726" s="5"/>
      <c r="AK726" s="5"/>
      <c r="AL726" s="5"/>
      <c r="AM726" s="5"/>
    </row>
    <row r="727" spans="1:39" ht="15.75" customHeight="1" x14ac:dyDescent="0.2">
      <c r="A727" s="5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5"/>
      <c r="AF727" s="5"/>
      <c r="AG727" s="5"/>
      <c r="AH727" s="5"/>
      <c r="AI727" s="5"/>
      <c r="AJ727" s="5"/>
      <c r="AK727" s="5"/>
      <c r="AL727" s="5"/>
      <c r="AM727" s="5"/>
    </row>
    <row r="728" spans="1:39" ht="15.75" customHeight="1" x14ac:dyDescent="0.2">
      <c r="A728" s="5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5"/>
      <c r="AF728" s="5"/>
      <c r="AG728" s="5"/>
      <c r="AH728" s="5"/>
      <c r="AI728" s="5"/>
      <c r="AJ728" s="5"/>
      <c r="AK728" s="5"/>
      <c r="AL728" s="5"/>
      <c r="AM728" s="5"/>
    </row>
    <row r="729" spans="1:39" ht="15.75" customHeight="1" x14ac:dyDescent="0.2">
      <c r="A729" s="5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5"/>
      <c r="AF729" s="5"/>
      <c r="AG729" s="5"/>
      <c r="AH729" s="5"/>
      <c r="AI729" s="5"/>
      <c r="AJ729" s="5"/>
      <c r="AK729" s="5"/>
      <c r="AL729" s="5"/>
      <c r="AM729" s="5"/>
    </row>
    <row r="730" spans="1:39" ht="15.75" customHeight="1" x14ac:dyDescent="0.2">
      <c r="A730" s="5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5"/>
      <c r="AF730" s="5"/>
      <c r="AG730" s="5"/>
      <c r="AH730" s="5"/>
      <c r="AI730" s="5"/>
      <c r="AJ730" s="5"/>
      <c r="AK730" s="5"/>
      <c r="AL730" s="5"/>
      <c r="AM730" s="5"/>
    </row>
    <row r="731" spans="1:39" ht="15.75" customHeight="1" x14ac:dyDescent="0.2">
      <c r="A731" s="5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5"/>
      <c r="AF731" s="5"/>
      <c r="AG731" s="5"/>
      <c r="AH731" s="5"/>
      <c r="AI731" s="5"/>
      <c r="AJ731" s="5"/>
      <c r="AK731" s="5"/>
      <c r="AL731" s="5"/>
      <c r="AM731" s="5"/>
    </row>
    <row r="732" spans="1:39" ht="15.75" customHeight="1" x14ac:dyDescent="0.2">
      <c r="A732" s="5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5"/>
      <c r="AF732" s="5"/>
      <c r="AG732" s="5"/>
      <c r="AH732" s="5"/>
      <c r="AI732" s="5"/>
      <c r="AJ732" s="5"/>
      <c r="AK732" s="5"/>
      <c r="AL732" s="5"/>
      <c r="AM732" s="5"/>
    </row>
    <row r="733" spans="1:39" ht="15.75" customHeight="1" x14ac:dyDescent="0.2">
      <c r="A733" s="5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5"/>
      <c r="AF733" s="5"/>
      <c r="AG733" s="5"/>
      <c r="AH733" s="5"/>
      <c r="AI733" s="5"/>
      <c r="AJ733" s="5"/>
      <c r="AK733" s="5"/>
      <c r="AL733" s="5"/>
      <c r="AM733" s="5"/>
    </row>
    <row r="734" spans="1:39" ht="15.75" customHeight="1" x14ac:dyDescent="0.2">
      <c r="A734" s="5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5"/>
      <c r="AF734" s="5"/>
      <c r="AG734" s="5"/>
      <c r="AH734" s="5"/>
      <c r="AI734" s="5"/>
      <c r="AJ734" s="5"/>
      <c r="AK734" s="5"/>
      <c r="AL734" s="5"/>
      <c r="AM734" s="5"/>
    </row>
    <row r="735" spans="1:39" ht="15.75" customHeight="1" x14ac:dyDescent="0.2">
      <c r="A735" s="5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5"/>
      <c r="AF735" s="5"/>
      <c r="AG735" s="5"/>
      <c r="AH735" s="5"/>
      <c r="AI735" s="5"/>
      <c r="AJ735" s="5"/>
      <c r="AK735" s="5"/>
      <c r="AL735" s="5"/>
      <c r="AM735" s="5"/>
    </row>
    <row r="736" spans="1:39" ht="15.75" customHeight="1" x14ac:dyDescent="0.2">
      <c r="A736" s="5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5"/>
      <c r="AF736" s="5"/>
      <c r="AG736" s="5"/>
      <c r="AH736" s="5"/>
      <c r="AI736" s="5"/>
      <c r="AJ736" s="5"/>
      <c r="AK736" s="5"/>
      <c r="AL736" s="5"/>
      <c r="AM736" s="5"/>
    </row>
    <row r="737" spans="1:39" ht="15.75" customHeight="1" x14ac:dyDescent="0.2">
      <c r="A737" s="5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5"/>
      <c r="AF737" s="5"/>
      <c r="AG737" s="5"/>
      <c r="AH737" s="5"/>
      <c r="AI737" s="5"/>
      <c r="AJ737" s="5"/>
      <c r="AK737" s="5"/>
      <c r="AL737" s="5"/>
      <c r="AM737" s="5"/>
    </row>
    <row r="738" spans="1:39" ht="15.75" customHeight="1" x14ac:dyDescent="0.2">
      <c r="A738" s="5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5"/>
      <c r="AF738" s="5"/>
      <c r="AG738" s="5"/>
      <c r="AH738" s="5"/>
      <c r="AI738" s="5"/>
      <c r="AJ738" s="5"/>
      <c r="AK738" s="5"/>
      <c r="AL738" s="5"/>
      <c r="AM738" s="5"/>
    </row>
    <row r="739" spans="1:39" ht="15.75" customHeight="1" x14ac:dyDescent="0.2">
      <c r="A739" s="5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5"/>
      <c r="AF739" s="5"/>
      <c r="AG739" s="5"/>
      <c r="AH739" s="5"/>
      <c r="AI739" s="5"/>
      <c r="AJ739" s="5"/>
      <c r="AK739" s="5"/>
      <c r="AL739" s="5"/>
      <c r="AM739" s="5"/>
    </row>
    <row r="740" spans="1:39" ht="15.75" customHeight="1" x14ac:dyDescent="0.2">
      <c r="A740" s="5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5"/>
      <c r="AF740" s="5"/>
      <c r="AG740" s="5"/>
      <c r="AH740" s="5"/>
      <c r="AI740" s="5"/>
      <c r="AJ740" s="5"/>
      <c r="AK740" s="5"/>
      <c r="AL740" s="5"/>
      <c r="AM740" s="5"/>
    </row>
    <row r="741" spans="1:39" ht="15.75" customHeight="1" x14ac:dyDescent="0.2">
      <c r="A741" s="5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5"/>
      <c r="AF741" s="5"/>
      <c r="AG741" s="5"/>
      <c r="AH741" s="5"/>
      <c r="AI741" s="5"/>
      <c r="AJ741" s="5"/>
      <c r="AK741" s="5"/>
      <c r="AL741" s="5"/>
      <c r="AM741" s="5"/>
    </row>
    <row r="742" spans="1:39" ht="15.75" customHeight="1" x14ac:dyDescent="0.2">
      <c r="A742" s="5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5"/>
      <c r="AF742" s="5"/>
      <c r="AG742" s="5"/>
      <c r="AH742" s="5"/>
      <c r="AI742" s="5"/>
      <c r="AJ742" s="5"/>
      <c r="AK742" s="5"/>
      <c r="AL742" s="5"/>
      <c r="AM742" s="5"/>
    </row>
    <row r="743" spans="1:39" ht="15.75" customHeight="1" x14ac:dyDescent="0.2">
      <c r="A743" s="5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5"/>
      <c r="AF743" s="5"/>
      <c r="AG743" s="5"/>
      <c r="AH743" s="5"/>
      <c r="AI743" s="5"/>
      <c r="AJ743" s="5"/>
      <c r="AK743" s="5"/>
      <c r="AL743" s="5"/>
      <c r="AM743" s="5"/>
    </row>
    <row r="744" spans="1:39" ht="15.75" customHeight="1" x14ac:dyDescent="0.2">
      <c r="A744" s="5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5"/>
      <c r="AF744" s="5"/>
      <c r="AG744" s="5"/>
      <c r="AH744" s="5"/>
      <c r="AI744" s="5"/>
      <c r="AJ744" s="5"/>
      <c r="AK744" s="5"/>
      <c r="AL744" s="5"/>
      <c r="AM744" s="5"/>
    </row>
    <row r="745" spans="1:39" ht="15.75" customHeight="1" x14ac:dyDescent="0.2">
      <c r="A745" s="5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5"/>
      <c r="AF745" s="5"/>
      <c r="AG745" s="5"/>
      <c r="AH745" s="5"/>
      <c r="AI745" s="5"/>
      <c r="AJ745" s="5"/>
      <c r="AK745" s="5"/>
      <c r="AL745" s="5"/>
      <c r="AM745" s="5"/>
    </row>
    <row r="746" spans="1:39" ht="15.75" customHeight="1" x14ac:dyDescent="0.2">
      <c r="A746" s="5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5"/>
      <c r="AF746" s="5"/>
      <c r="AG746" s="5"/>
      <c r="AH746" s="5"/>
      <c r="AI746" s="5"/>
      <c r="AJ746" s="5"/>
      <c r="AK746" s="5"/>
      <c r="AL746" s="5"/>
      <c r="AM746" s="5"/>
    </row>
    <row r="747" spans="1:39" ht="15.75" customHeight="1" x14ac:dyDescent="0.2">
      <c r="A747" s="5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5"/>
      <c r="AF747" s="5"/>
      <c r="AG747" s="5"/>
      <c r="AH747" s="5"/>
      <c r="AI747" s="5"/>
      <c r="AJ747" s="5"/>
      <c r="AK747" s="5"/>
      <c r="AL747" s="5"/>
      <c r="AM747" s="5"/>
    </row>
    <row r="748" spans="1:39" ht="15.75" customHeight="1" x14ac:dyDescent="0.2">
      <c r="A748" s="5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5"/>
      <c r="AF748" s="5"/>
      <c r="AG748" s="5"/>
      <c r="AH748" s="5"/>
      <c r="AI748" s="5"/>
      <c r="AJ748" s="5"/>
      <c r="AK748" s="5"/>
      <c r="AL748" s="5"/>
      <c r="AM748" s="5"/>
    </row>
    <row r="749" spans="1:39" ht="15.75" customHeight="1" x14ac:dyDescent="0.2">
      <c r="A749" s="5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5"/>
      <c r="AF749" s="5"/>
      <c r="AG749" s="5"/>
      <c r="AH749" s="5"/>
      <c r="AI749" s="5"/>
      <c r="AJ749" s="5"/>
      <c r="AK749" s="5"/>
      <c r="AL749" s="5"/>
      <c r="AM749" s="5"/>
    </row>
    <row r="750" spans="1:39" ht="15.75" customHeight="1" x14ac:dyDescent="0.2">
      <c r="A750" s="5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5"/>
      <c r="AF750" s="5"/>
      <c r="AG750" s="5"/>
      <c r="AH750" s="5"/>
      <c r="AI750" s="5"/>
      <c r="AJ750" s="5"/>
      <c r="AK750" s="5"/>
      <c r="AL750" s="5"/>
      <c r="AM750" s="5"/>
    </row>
    <row r="751" spans="1:39" ht="15.75" customHeight="1" x14ac:dyDescent="0.2">
      <c r="A751" s="5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5"/>
      <c r="AF751" s="5"/>
      <c r="AG751" s="5"/>
      <c r="AH751" s="5"/>
      <c r="AI751" s="5"/>
      <c r="AJ751" s="5"/>
      <c r="AK751" s="5"/>
      <c r="AL751" s="5"/>
      <c r="AM751" s="5"/>
    </row>
    <row r="752" spans="1:39" ht="15.75" customHeight="1" x14ac:dyDescent="0.2">
      <c r="A752" s="5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5"/>
      <c r="AF752" s="5"/>
      <c r="AG752" s="5"/>
      <c r="AH752" s="5"/>
      <c r="AI752" s="5"/>
      <c r="AJ752" s="5"/>
      <c r="AK752" s="5"/>
      <c r="AL752" s="5"/>
      <c r="AM752" s="5"/>
    </row>
    <row r="753" spans="1:39" ht="15.75" customHeight="1" x14ac:dyDescent="0.2">
      <c r="A753" s="5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5"/>
      <c r="AF753" s="5"/>
      <c r="AG753" s="5"/>
      <c r="AH753" s="5"/>
      <c r="AI753" s="5"/>
      <c r="AJ753" s="5"/>
      <c r="AK753" s="5"/>
      <c r="AL753" s="5"/>
      <c r="AM753" s="5"/>
    </row>
    <row r="754" spans="1:39" ht="15.75" customHeight="1" x14ac:dyDescent="0.2">
      <c r="A754" s="5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5"/>
      <c r="AF754" s="5"/>
      <c r="AG754" s="5"/>
      <c r="AH754" s="5"/>
      <c r="AI754" s="5"/>
      <c r="AJ754" s="5"/>
      <c r="AK754" s="5"/>
      <c r="AL754" s="5"/>
      <c r="AM754" s="5"/>
    </row>
    <row r="755" spans="1:39" ht="15.75" customHeight="1" x14ac:dyDescent="0.2">
      <c r="A755" s="5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5"/>
      <c r="AF755" s="5"/>
      <c r="AG755" s="5"/>
      <c r="AH755" s="5"/>
      <c r="AI755" s="5"/>
      <c r="AJ755" s="5"/>
      <c r="AK755" s="5"/>
      <c r="AL755" s="5"/>
      <c r="AM755" s="5"/>
    </row>
    <row r="756" spans="1:39" ht="15.75" customHeight="1" x14ac:dyDescent="0.2">
      <c r="A756" s="5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5"/>
      <c r="AF756" s="5"/>
      <c r="AG756" s="5"/>
      <c r="AH756" s="5"/>
      <c r="AI756" s="5"/>
      <c r="AJ756" s="5"/>
      <c r="AK756" s="5"/>
      <c r="AL756" s="5"/>
      <c r="AM756" s="5"/>
    </row>
    <row r="757" spans="1:39" ht="15.75" customHeight="1" x14ac:dyDescent="0.2">
      <c r="A757" s="5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5"/>
      <c r="AF757" s="5"/>
      <c r="AG757" s="5"/>
      <c r="AH757" s="5"/>
      <c r="AI757" s="5"/>
      <c r="AJ757" s="5"/>
      <c r="AK757" s="5"/>
      <c r="AL757" s="5"/>
      <c r="AM757" s="5"/>
    </row>
    <row r="758" spans="1:39" ht="15.75" customHeight="1" x14ac:dyDescent="0.2">
      <c r="A758" s="5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5"/>
      <c r="AF758" s="5"/>
      <c r="AG758" s="5"/>
      <c r="AH758" s="5"/>
      <c r="AI758" s="5"/>
      <c r="AJ758" s="5"/>
      <c r="AK758" s="5"/>
      <c r="AL758" s="5"/>
      <c r="AM758" s="5"/>
    </row>
    <row r="759" spans="1:39" ht="15.75" customHeight="1" x14ac:dyDescent="0.2">
      <c r="A759" s="5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5"/>
      <c r="AF759" s="5"/>
      <c r="AG759" s="5"/>
      <c r="AH759" s="5"/>
      <c r="AI759" s="5"/>
      <c r="AJ759" s="5"/>
      <c r="AK759" s="5"/>
      <c r="AL759" s="5"/>
      <c r="AM759" s="5"/>
    </row>
    <row r="760" spans="1:39" ht="15.75" customHeight="1" x14ac:dyDescent="0.2">
      <c r="A760" s="5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5"/>
      <c r="AF760" s="5"/>
      <c r="AG760" s="5"/>
      <c r="AH760" s="5"/>
      <c r="AI760" s="5"/>
      <c r="AJ760" s="5"/>
      <c r="AK760" s="5"/>
      <c r="AL760" s="5"/>
      <c r="AM760" s="5"/>
    </row>
    <row r="761" spans="1:39" ht="15.75" customHeight="1" x14ac:dyDescent="0.2">
      <c r="A761" s="5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5"/>
      <c r="AF761" s="5"/>
      <c r="AG761" s="5"/>
      <c r="AH761" s="5"/>
      <c r="AI761" s="5"/>
      <c r="AJ761" s="5"/>
      <c r="AK761" s="5"/>
      <c r="AL761" s="5"/>
      <c r="AM761" s="5"/>
    </row>
    <row r="762" spans="1:39" ht="15.75" customHeight="1" x14ac:dyDescent="0.2">
      <c r="A762" s="5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5"/>
      <c r="AF762" s="5"/>
      <c r="AG762" s="5"/>
      <c r="AH762" s="5"/>
      <c r="AI762" s="5"/>
      <c r="AJ762" s="5"/>
      <c r="AK762" s="5"/>
      <c r="AL762" s="5"/>
      <c r="AM762" s="5"/>
    </row>
    <row r="763" spans="1:39" ht="15.75" customHeight="1" x14ac:dyDescent="0.2">
      <c r="A763" s="5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5"/>
      <c r="AF763" s="5"/>
      <c r="AG763" s="5"/>
      <c r="AH763" s="5"/>
      <c r="AI763" s="5"/>
      <c r="AJ763" s="5"/>
      <c r="AK763" s="5"/>
      <c r="AL763" s="5"/>
      <c r="AM763" s="5"/>
    </row>
    <row r="764" spans="1:39" ht="15.75" customHeight="1" x14ac:dyDescent="0.2">
      <c r="A764" s="5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5"/>
      <c r="AF764" s="5"/>
      <c r="AG764" s="5"/>
      <c r="AH764" s="5"/>
      <c r="AI764" s="5"/>
      <c r="AJ764" s="5"/>
      <c r="AK764" s="5"/>
      <c r="AL764" s="5"/>
      <c r="AM764" s="5"/>
    </row>
    <row r="765" spans="1:39" ht="15.75" customHeight="1" x14ac:dyDescent="0.2">
      <c r="A765" s="5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5"/>
      <c r="AF765" s="5"/>
      <c r="AG765" s="5"/>
      <c r="AH765" s="5"/>
      <c r="AI765" s="5"/>
      <c r="AJ765" s="5"/>
      <c r="AK765" s="5"/>
      <c r="AL765" s="5"/>
      <c r="AM765" s="5"/>
    </row>
    <row r="766" spans="1:39" ht="15.75" customHeight="1" x14ac:dyDescent="0.2">
      <c r="A766" s="5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5"/>
      <c r="AF766" s="5"/>
      <c r="AG766" s="5"/>
      <c r="AH766" s="5"/>
      <c r="AI766" s="5"/>
      <c r="AJ766" s="5"/>
      <c r="AK766" s="5"/>
      <c r="AL766" s="5"/>
      <c r="AM766" s="5"/>
    </row>
    <row r="767" spans="1:39" ht="15.75" customHeight="1" x14ac:dyDescent="0.2">
      <c r="A767" s="5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5"/>
      <c r="AF767" s="5"/>
      <c r="AG767" s="5"/>
      <c r="AH767" s="5"/>
      <c r="AI767" s="5"/>
      <c r="AJ767" s="5"/>
      <c r="AK767" s="5"/>
      <c r="AL767" s="5"/>
      <c r="AM767" s="5"/>
    </row>
    <row r="768" spans="1:39" ht="15.75" customHeight="1" x14ac:dyDescent="0.2">
      <c r="A768" s="5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5"/>
      <c r="AF768" s="5"/>
      <c r="AG768" s="5"/>
      <c r="AH768" s="5"/>
      <c r="AI768" s="5"/>
      <c r="AJ768" s="5"/>
      <c r="AK768" s="5"/>
      <c r="AL768" s="5"/>
      <c r="AM768" s="5"/>
    </row>
    <row r="769" spans="1:39" ht="15.75" customHeight="1" x14ac:dyDescent="0.2">
      <c r="A769" s="5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5"/>
      <c r="AF769" s="5"/>
      <c r="AG769" s="5"/>
      <c r="AH769" s="5"/>
      <c r="AI769" s="5"/>
      <c r="AJ769" s="5"/>
      <c r="AK769" s="5"/>
      <c r="AL769" s="5"/>
      <c r="AM769" s="5"/>
    </row>
    <row r="770" spans="1:39" ht="15.75" customHeight="1" x14ac:dyDescent="0.2">
      <c r="A770" s="5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5"/>
      <c r="AF770" s="5"/>
      <c r="AG770" s="5"/>
      <c r="AH770" s="5"/>
      <c r="AI770" s="5"/>
      <c r="AJ770" s="5"/>
      <c r="AK770" s="5"/>
      <c r="AL770" s="5"/>
      <c r="AM770" s="5"/>
    </row>
    <row r="771" spans="1:39" ht="15.75" customHeight="1" x14ac:dyDescent="0.2">
      <c r="A771" s="5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5"/>
      <c r="AF771" s="5"/>
      <c r="AG771" s="5"/>
      <c r="AH771" s="5"/>
      <c r="AI771" s="5"/>
      <c r="AJ771" s="5"/>
      <c r="AK771" s="5"/>
      <c r="AL771" s="5"/>
      <c r="AM771" s="5"/>
    </row>
    <row r="772" spans="1:39" ht="15.75" customHeight="1" x14ac:dyDescent="0.2">
      <c r="A772" s="5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5"/>
      <c r="AF772" s="5"/>
      <c r="AG772" s="5"/>
      <c r="AH772" s="5"/>
      <c r="AI772" s="5"/>
      <c r="AJ772" s="5"/>
      <c r="AK772" s="5"/>
      <c r="AL772" s="5"/>
      <c r="AM772" s="5"/>
    </row>
    <row r="773" spans="1:39" ht="15.75" customHeight="1" x14ac:dyDescent="0.2">
      <c r="A773" s="5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5"/>
      <c r="AF773" s="5"/>
      <c r="AG773" s="5"/>
      <c r="AH773" s="5"/>
      <c r="AI773" s="5"/>
      <c r="AJ773" s="5"/>
      <c r="AK773" s="5"/>
      <c r="AL773" s="5"/>
      <c r="AM773" s="5"/>
    </row>
    <row r="774" spans="1:39" ht="15.75" customHeight="1" x14ac:dyDescent="0.2">
      <c r="A774" s="5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5"/>
      <c r="AF774" s="5"/>
      <c r="AG774" s="5"/>
      <c r="AH774" s="5"/>
      <c r="AI774" s="5"/>
      <c r="AJ774" s="5"/>
      <c r="AK774" s="5"/>
      <c r="AL774" s="5"/>
      <c r="AM774" s="5"/>
    </row>
    <row r="775" spans="1:39" ht="15.75" customHeight="1" x14ac:dyDescent="0.2">
      <c r="A775" s="5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5"/>
      <c r="AF775" s="5"/>
      <c r="AG775" s="5"/>
      <c r="AH775" s="5"/>
      <c r="AI775" s="5"/>
      <c r="AJ775" s="5"/>
      <c r="AK775" s="5"/>
      <c r="AL775" s="5"/>
      <c r="AM775" s="5"/>
    </row>
    <row r="776" spans="1:39" ht="15.75" customHeight="1" x14ac:dyDescent="0.2">
      <c r="A776" s="5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5"/>
      <c r="AF776" s="5"/>
      <c r="AG776" s="5"/>
      <c r="AH776" s="5"/>
      <c r="AI776" s="5"/>
      <c r="AJ776" s="5"/>
      <c r="AK776" s="5"/>
      <c r="AL776" s="5"/>
      <c r="AM776" s="5"/>
    </row>
    <row r="777" spans="1:39" ht="15.75" customHeight="1" x14ac:dyDescent="0.2">
      <c r="A777" s="5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5"/>
      <c r="AF777" s="5"/>
      <c r="AG777" s="5"/>
      <c r="AH777" s="5"/>
      <c r="AI777" s="5"/>
      <c r="AJ777" s="5"/>
      <c r="AK777" s="5"/>
      <c r="AL777" s="5"/>
      <c r="AM777" s="5"/>
    </row>
    <row r="778" spans="1:39" ht="15.75" customHeight="1" x14ac:dyDescent="0.2">
      <c r="A778" s="5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5"/>
      <c r="AF778" s="5"/>
      <c r="AG778" s="5"/>
      <c r="AH778" s="5"/>
      <c r="AI778" s="5"/>
      <c r="AJ778" s="5"/>
      <c r="AK778" s="5"/>
      <c r="AL778" s="5"/>
      <c r="AM778" s="5"/>
    </row>
    <row r="779" spans="1:39" ht="15.75" customHeight="1" x14ac:dyDescent="0.2">
      <c r="A779" s="5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5"/>
      <c r="AF779" s="5"/>
      <c r="AG779" s="5"/>
      <c r="AH779" s="5"/>
      <c r="AI779" s="5"/>
      <c r="AJ779" s="5"/>
      <c r="AK779" s="5"/>
      <c r="AL779" s="5"/>
      <c r="AM779" s="5"/>
    </row>
    <row r="780" spans="1:39" ht="15.75" customHeight="1" x14ac:dyDescent="0.2">
      <c r="A780" s="5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5"/>
      <c r="AF780" s="5"/>
      <c r="AG780" s="5"/>
      <c r="AH780" s="5"/>
      <c r="AI780" s="5"/>
      <c r="AJ780" s="5"/>
      <c r="AK780" s="5"/>
      <c r="AL780" s="5"/>
      <c r="AM780" s="5"/>
    </row>
    <row r="781" spans="1:39" ht="15.75" customHeight="1" x14ac:dyDescent="0.2">
      <c r="A781" s="5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5"/>
      <c r="AF781" s="5"/>
      <c r="AG781" s="5"/>
      <c r="AH781" s="5"/>
      <c r="AI781" s="5"/>
      <c r="AJ781" s="5"/>
      <c r="AK781" s="5"/>
      <c r="AL781" s="5"/>
      <c r="AM781" s="5"/>
    </row>
    <row r="782" spans="1:39" ht="15.75" customHeight="1" x14ac:dyDescent="0.2">
      <c r="A782" s="5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5"/>
      <c r="AF782" s="5"/>
      <c r="AG782" s="5"/>
      <c r="AH782" s="5"/>
      <c r="AI782" s="5"/>
      <c r="AJ782" s="5"/>
      <c r="AK782" s="5"/>
      <c r="AL782" s="5"/>
      <c r="AM782" s="5"/>
    </row>
    <row r="783" spans="1:39" ht="15.75" customHeight="1" x14ac:dyDescent="0.2">
      <c r="A783" s="5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5"/>
      <c r="AF783" s="5"/>
      <c r="AG783" s="5"/>
      <c r="AH783" s="5"/>
      <c r="AI783" s="5"/>
      <c r="AJ783" s="5"/>
      <c r="AK783" s="5"/>
      <c r="AL783" s="5"/>
      <c r="AM783" s="5"/>
    </row>
    <row r="784" spans="1:39" ht="15.75" customHeight="1" x14ac:dyDescent="0.2">
      <c r="A784" s="5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5"/>
      <c r="AF784" s="5"/>
      <c r="AG784" s="5"/>
      <c r="AH784" s="5"/>
      <c r="AI784" s="5"/>
      <c r="AJ784" s="5"/>
      <c r="AK784" s="5"/>
      <c r="AL784" s="5"/>
      <c r="AM784" s="5"/>
    </row>
    <row r="785" spans="1:39" ht="15.75" customHeight="1" x14ac:dyDescent="0.2">
      <c r="A785" s="5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5"/>
      <c r="AF785" s="5"/>
      <c r="AG785" s="5"/>
      <c r="AH785" s="5"/>
      <c r="AI785" s="5"/>
      <c r="AJ785" s="5"/>
      <c r="AK785" s="5"/>
      <c r="AL785" s="5"/>
      <c r="AM785" s="5"/>
    </row>
    <row r="786" spans="1:39" ht="15.75" customHeight="1" x14ac:dyDescent="0.2">
      <c r="A786" s="5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5"/>
      <c r="AF786" s="5"/>
      <c r="AG786" s="5"/>
      <c r="AH786" s="5"/>
      <c r="AI786" s="5"/>
      <c r="AJ786" s="5"/>
      <c r="AK786" s="5"/>
      <c r="AL786" s="5"/>
      <c r="AM786" s="5"/>
    </row>
    <row r="787" spans="1:39" ht="15.75" customHeight="1" x14ac:dyDescent="0.2">
      <c r="A787" s="5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5"/>
      <c r="AF787" s="5"/>
      <c r="AG787" s="5"/>
      <c r="AH787" s="5"/>
      <c r="AI787" s="5"/>
      <c r="AJ787" s="5"/>
      <c r="AK787" s="5"/>
      <c r="AL787" s="5"/>
      <c r="AM787" s="5"/>
    </row>
    <row r="788" spans="1:39" ht="15.75" customHeight="1" x14ac:dyDescent="0.2">
      <c r="A788" s="5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5"/>
      <c r="AF788" s="5"/>
      <c r="AG788" s="5"/>
      <c r="AH788" s="5"/>
      <c r="AI788" s="5"/>
      <c r="AJ788" s="5"/>
      <c r="AK788" s="5"/>
      <c r="AL788" s="5"/>
      <c r="AM788" s="5"/>
    </row>
    <row r="789" spans="1:39" ht="15.75" customHeight="1" x14ac:dyDescent="0.2">
      <c r="A789" s="5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5"/>
      <c r="AF789" s="5"/>
      <c r="AG789" s="5"/>
      <c r="AH789" s="5"/>
      <c r="AI789" s="5"/>
      <c r="AJ789" s="5"/>
      <c r="AK789" s="5"/>
      <c r="AL789" s="5"/>
      <c r="AM789" s="5"/>
    </row>
    <row r="790" spans="1:39" ht="15.75" customHeight="1" x14ac:dyDescent="0.2">
      <c r="A790" s="5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5"/>
      <c r="AF790" s="5"/>
      <c r="AG790" s="5"/>
      <c r="AH790" s="5"/>
      <c r="AI790" s="5"/>
      <c r="AJ790" s="5"/>
      <c r="AK790" s="5"/>
      <c r="AL790" s="5"/>
      <c r="AM790" s="5"/>
    </row>
    <row r="791" spans="1:39" ht="15.75" customHeight="1" x14ac:dyDescent="0.2">
      <c r="A791" s="5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5"/>
      <c r="AF791" s="5"/>
      <c r="AG791" s="5"/>
      <c r="AH791" s="5"/>
      <c r="AI791" s="5"/>
      <c r="AJ791" s="5"/>
      <c r="AK791" s="5"/>
      <c r="AL791" s="5"/>
      <c r="AM791" s="5"/>
    </row>
    <row r="792" spans="1:39" ht="15.75" customHeight="1" x14ac:dyDescent="0.2">
      <c r="A792" s="5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5"/>
      <c r="AF792" s="5"/>
      <c r="AG792" s="5"/>
      <c r="AH792" s="5"/>
      <c r="AI792" s="5"/>
      <c r="AJ792" s="5"/>
      <c r="AK792" s="5"/>
      <c r="AL792" s="5"/>
      <c r="AM792" s="5"/>
    </row>
    <row r="793" spans="1:39" ht="15.75" customHeight="1" x14ac:dyDescent="0.2">
      <c r="A793" s="5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5"/>
      <c r="AF793" s="5"/>
      <c r="AG793" s="5"/>
      <c r="AH793" s="5"/>
      <c r="AI793" s="5"/>
      <c r="AJ793" s="5"/>
      <c r="AK793" s="5"/>
      <c r="AL793" s="5"/>
      <c r="AM793" s="5"/>
    </row>
    <row r="794" spans="1:39" ht="15.75" customHeight="1" x14ac:dyDescent="0.2">
      <c r="A794" s="5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5"/>
      <c r="AF794" s="5"/>
      <c r="AG794" s="5"/>
      <c r="AH794" s="5"/>
      <c r="AI794" s="5"/>
      <c r="AJ794" s="5"/>
      <c r="AK794" s="5"/>
      <c r="AL794" s="5"/>
      <c r="AM794" s="5"/>
    </row>
    <row r="795" spans="1:39" ht="15.75" customHeight="1" x14ac:dyDescent="0.2">
      <c r="A795" s="5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5"/>
      <c r="AF795" s="5"/>
      <c r="AG795" s="5"/>
      <c r="AH795" s="5"/>
      <c r="AI795" s="5"/>
      <c r="AJ795" s="5"/>
      <c r="AK795" s="5"/>
      <c r="AL795" s="5"/>
      <c r="AM795" s="5"/>
    </row>
    <row r="796" spans="1:39" ht="15.75" customHeight="1" x14ac:dyDescent="0.2">
      <c r="A796" s="5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5"/>
      <c r="AF796" s="5"/>
      <c r="AG796" s="5"/>
      <c r="AH796" s="5"/>
      <c r="AI796" s="5"/>
      <c r="AJ796" s="5"/>
      <c r="AK796" s="5"/>
      <c r="AL796" s="5"/>
      <c r="AM796" s="5"/>
    </row>
    <row r="797" spans="1:39" ht="15.75" customHeight="1" x14ac:dyDescent="0.2">
      <c r="A797" s="5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5"/>
      <c r="AF797" s="5"/>
      <c r="AG797" s="5"/>
      <c r="AH797" s="5"/>
      <c r="AI797" s="5"/>
      <c r="AJ797" s="5"/>
      <c r="AK797" s="5"/>
      <c r="AL797" s="5"/>
      <c r="AM797" s="5"/>
    </row>
    <row r="798" spans="1:39" ht="15.75" customHeight="1" x14ac:dyDescent="0.2">
      <c r="A798" s="5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5"/>
      <c r="AF798" s="5"/>
      <c r="AG798" s="5"/>
      <c r="AH798" s="5"/>
      <c r="AI798" s="5"/>
      <c r="AJ798" s="5"/>
      <c r="AK798" s="5"/>
      <c r="AL798" s="5"/>
      <c r="AM798" s="5"/>
    </row>
    <row r="799" spans="1:39" ht="15.75" customHeight="1" x14ac:dyDescent="0.2">
      <c r="A799" s="5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5"/>
      <c r="AF799" s="5"/>
      <c r="AG799" s="5"/>
      <c r="AH799" s="5"/>
      <c r="AI799" s="5"/>
      <c r="AJ799" s="5"/>
      <c r="AK799" s="5"/>
      <c r="AL799" s="5"/>
      <c r="AM799" s="5"/>
    </row>
    <row r="800" spans="1:39" ht="15.75" customHeight="1" x14ac:dyDescent="0.2">
      <c r="A800" s="5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5"/>
      <c r="AF800" s="5"/>
      <c r="AG800" s="5"/>
      <c r="AH800" s="5"/>
      <c r="AI800" s="5"/>
      <c r="AJ800" s="5"/>
      <c r="AK800" s="5"/>
      <c r="AL800" s="5"/>
      <c r="AM800" s="5"/>
    </row>
    <row r="801" spans="1:39" ht="15.75" customHeight="1" x14ac:dyDescent="0.2">
      <c r="A801" s="5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5"/>
      <c r="AF801" s="5"/>
      <c r="AG801" s="5"/>
      <c r="AH801" s="5"/>
      <c r="AI801" s="5"/>
      <c r="AJ801" s="5"/>
      <c r="AK801" s="5"/>
      <c r="AL801" s="5"/>
      <c r="AM801" s="5"/>
    </row>
    <row r="802" spans="1:39" ht="15.75" customHeight="1" x14ac:dyDescent="0.2">
      <c r="A802" s="5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5"/>
      <c r="AF802" s="5"/>
      <c r="AG802" s="5"/>
      <c r="AH802" s="5"/>
      <c r="AI802" s="5"/>
      <c r="AJ802" s="5"/>
      <c r="AK802" s="5"/>
      <c r="AL802" s="5"/>
      <c r="AM802" s="5"/>
    </row>
    <row r="803" spans="1:39" ht="15.75" customHeight="1" x14ac:dyDescent="0.2">
      <c r="A803" s="5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5"/>
      <c r="AF803" s="5"/>
      <c r="AG803" s="5"/>
      <c r="AH803" s="5"/>
      <c r="AI803" s="5"/>
      <c r="AJ803" s="5"/>
      <c r="AK803" s="5"/>
      <c r="AL803" s="5"/>
      <c r="AM803" s="5"/>
    </row>
    <row r="804" spans="1:39" ht="15.75" customHeight="1" x14ac:dyDescent="0.2">
      <c r="A804" s="5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5"/>
      <c r="AF804" s="5"/>
      <c r="AG804" s="5"/>
      <c r="AH804" s="5"/>
      <c r="AI804" s="5"/>
      <c r="AJ804" s="5"/>
      <c r="AK804" s="5"/>
      <c r="AL804" s="5"/>
      <c r="AM804" s="5"/>
    </row>
    <row r="805" spans="1:39" ht="15.75" customHeight="1" x14ac:dyDescent="0.2">
      <c r="A805" s="5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5"/>
      <c r="AF805" s="5"/>
      <c r="AG805" s="5"/>
      <c r="AH805" s="5"/>
      <c r="AI805" s="5"/>
      <c r="AJ805" s="5"/>
      <c r="AK805" s="5"/>
      <c r="AL805" s="5"/>
      <c r="AM805" s="5"/>
    </row>
    <row r="806" spans="1:39" ht="15.75" customHeight="1" x14ac:dyDescent="0.2">
      <c r="A806" s="5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5"/>
      <c r="AF806" s="5"/>
      <c r="AG806" s="5"/>
      <c r="AH806" s="5"/>
      <c r="AI806" s="5"/>
      <c r="AJ806" s="5"/>
      <c r="AK806" s="5"/>
      <c r="AL806" s="5"/>
      <c r="AM806" s="5"/>
    </row>
    <row r="807" spans="1:39" ht="15.75" customHeight="1" x14ac:dyDescent="0.2">
      <c r="A807" s="5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5"/>
      <c r="AF807" s="5"/>
      <c r="AG807" s="5"/>
      <c r="AH807" s="5"/>
      <c r="AI807" s="5"/>
      <c r="AJ807" s="5"/>
      <c r="AK807" s="5"/>
      <c r="AL807" s="5"/>
      <c r="AM807" s="5"/>
    </row>
    <row r="808" spans="1:39" ht="15.75" customHeight="1" x14ac:dyDescent="0.2">
      <c r="A808" s="5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5"/>
      <c r="AF808" s="5"/>
      <c r="AG808" s="5"/>
      <c r="AH808" s="5"/>
      <c r="AI808" s="5"/>
      <c r="AJ808" s="5"/>
      <c r="AK808" s="5"/>
      <c r="AL808" s="5"/>
      <c r="AM808" s="5"/>
    </row>
    <row r="809" spans="1:39" ht="15.75" customHeight="1" x14ac:dyDescent="0.2">
      <c r="A809" s="5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5"/>
      <c r="AF809" s="5"/>
      <c r="AG809" s="5"/>
      <c r="AH809" s="5"/>
      <c r="AI809" s="5"/>
      <c r="AJ809" s="5"/>
      <c r="AK809" s="5"/>
      <c r="AL809" s="5"/>
      <c r="AM809" s="5"/>
    </row>
    <row r="810" spans="1:39" ht="15.75" customHeight="1" x14ac:dyDescent="0.2">
      <c r="A810" s="5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5"/>
      <c r="AF810" s="5"/>
      <c r="AG810" s="5"/>
      <c r="AH810" s="5"/>
      <c r="AI810" s="5"/>
      <c r="AJ810" s="5"/>
      <c r="AK810" s="5"/>
      <c r="AL810" s="5"/>
      <c r="AM810" s="5"/>
    </row>
    <row r="811" spans="1:39" ht="15.75" customHeight="1" x14ac:dyDescent="0.2">
      <c r="A811" s="5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5"/>
      <c r="AF811" s="5"/>
      <c r="AG811" s="5"/>
      <c r="AH811" s="5"/>
      <c r="AI811" s="5"/>
      <c r="AJ811" s="5"/>
      <c r="AK811" s="5"/>
      <c r="AL811" s="5"/>
      <c r="AM811" s="5"/>
    </row>
    <row r="812" spans="1:39" ht="15.75" customHeight="1" x14ac:dyDescent="0.2">
      <c r="A812" s="5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5"/>
      <c r="AF812" s="5"/>
      <c r="AG812" s="5"/>
      <c r="AH812" s="5"/>
      <c r="AI812" s="5"/>
      <c r="AJ812" s="5"/>
      <c r="AK812" s="5"/>
      <c r="AL812" s="5"/>
      <c r="AM812" s="5"/>
    </row>
    <row r="813" spans="1:39" ht="15.75" customHeight="1" x14ac:dyDescent="0.2">
      <c r="A813" s="5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5"/>
      <c r="AF813" s="5"/>
      <c r="AG813" s="5"/>
      <c r="AH813" s="5"/>
      <c r="AI813" s="5"/>
      <c r="AJ813" s="5"/>
      <c r="AK813" s="5"/>
      <c r="AL813" s="5"/>
      <c r="AM813" s="5"/>
    </row>
    <row r="814" spans="1:39" ht="15.75" customHeight="1" x14ac:dyDescent="0.2">
      <c r="A814" s="5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5"/>
      <c r="AF814" s="5"/>
      <c r="AG814" s="5"/>
      <c r="AH814" s="5"/>
      <c r="AI814" s="5"/>
      <c r="AJ814" s="5"/>
      <c r="AK814" s="5"/>
      <c r="AL814" s="5"/>
      <c r="AM814" s="5"/>
    </row>
    <row r="815" spans="1:39" ht="15.75" customHeight="1" x14ac:dyDescent="0.2">
      <c r="A815" s="5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5"/>
      <c r="AF815" s="5"/>
      <c r="AG815" s="5"/>
      <c r="AH815" s="5"/>
      <c r="AI815" s="5"/>
      <c r="AJ815" s="5"/>
      <c r="AK815" s="5"/>
      <c r="AL815" s="5"/>
      <c r="AM815" s="5"/>
    </row>
    <row r="816" spans="1:39" ht="15.75" customHeight="1" x14ac:dyDescent="0.2">
      <c r="A816" s="5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5"/>
      <c r="AF816" s="5"/>
      <c r="AG816" s="5"/>
      <c r="AH816" s="5"/>
      <c r="AI816" s="5"/>
      <c r="AJ816" s="5"/>
      <c r="AK816" s="5"/>
      <c r="AL816" s="5"/>
      <c r="AM816" s="5"/>
    </row>
    <row r="817" spans="1:39" ht="15.75" customHeight="1" x14ac:dyDescent="0.2">
      <c r="A817" s="5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5"/>
      <c r="AF817" s="5"/>
      <c r="AG817" s="5"/>
      <c r="AH817" s="5"/>
      <c r="AI817" s="5"/>
      <c r="AJ817" s="5"/>
      <c r="AK817" s="5"/>
      <c r="AL817" s="5"/>
      <c r="AM817" s="5"/>
    </row>
    <row r="818" spans="1:39" ht="15.75" customHeight="1" x14ac:dyDescent="0.2">
      <c r="A818" s="5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5"/>
      <c r="AF818" s="5"/>
      <c r="AG818" s="5"/>
      <c r="AH818" s="5"/>
      <c r="AI818" s="5"/>
      <c r="AJ818" s="5"/>
      <c r="AK818" s="5"/>
      <c r="AL818" s="5"/>
      <c r="AM818" s="5"/>
    </row>
    <row r="819" spans="1:39" ht="15.75" customHeight="1" x14ac:dyDescent="0.2">
      <c r="A819" s="5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5"/>
      <c r="AF819" s="5"/>
      <c r="AG819" s="5"/>
      <c r="AH819" s="5"/>
      <c r="AI819" s="5"/>
      <c r="AJ819" s="5"/>
      <c r="AK819" s="5"/>
      <c r="AL819" s="5"/>
      <c r="AM819" s="5"/>
    </row>
    <row r="820" spans="1:39" ht="15.75" customHeight="1" x14ac:dyDescent="0.2">
      <c r="A820" s="5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5"/>
      <c r="AF820" s="5"/>
      <c r="AG820" s="5"/>
      <c r="AH820" s="5"/>
      <c r="AI820" s="5"/>
      <c r="AJ820" s="5"/>
      <c r="AK820" s="5"/>
      <c r="AL820" s="5"/>
      <c r="AM820" s="5"/>
    </row>
    <row r="821" spans="1:39" ht="15.75" customHeight="1" x14ac:dyDescent="0.2">
      <c r="A821" s="5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5"/>
      <c r="AF821" s="5"/>
      <c r="AG821" s="5"/>
      <c r="AH821" s="5"/>
      <c r="AI821" s="5"/>
      <c r="AJ821" s="5"/>
      <c r="AK821" s="5"/>
      <c r="AL821" s="5"/>
      <c r="AM821" s="5"/>
    </row>
    <row r="822" spans="1:39" ht="15.75" customHeight="1" x14ac:dyDescent="0.2">
      <c r="A822" s="5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5"/>
      <c r="AF822" s="5"/>
      <c r="AG822" s="5"/>
      <c r="AH822" s="5"/>
      <c r="AI822" s="5"/>
      <c r="AJ822" s="5"/>
      <c r="AK822" s="5"/>
      <c r="AL822" s="5"/>
      <c r="AM822" s="5"/>
    </row>
    <row r="823" spans="1:39" ht="15.75" customHeight="1" x14ac:dyDescent="0.2">
      <c r="A823" s="5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5"/>
      <c r="AF823" s="5"/>
      <c r="AG823" s="5"/>
      <c r="AH823" s="5"/>
      <c r="AI823" s="5"/>
      <c r="AJ823" s="5"/>
      <c r="AK823" s="5"/>
      <c r="AL823" s="5"/>
      <c r="AM823" s="5"/>
    </row>
    <row r="824" spans="1:39" ht="15.75" customHeight="1" x14ac:dyDescent="0.2">
      <c r="A824" s="5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5"/>
      <c r="AF824" s="5"/>
      <c r="AG824" s="5"/>
      <c r="AH824" s="5"/>
      <c r="AI824" s="5"/>
      <c r="AJ824" s="5"/>
      <c r="AK824" s="5"/>
      <c r="AL824" s="5"/>
      <c r="AM824" s="5"/>
    </row>
    <row r="825" spans="1:39" ht="15.75" customHeight="1" x14ac:dyDescent="0.2">
      <c r="A825" s="5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5"/>
      <c r="AF825" s="5"/>
      <c r="AG825" s="5"/>
      <c r="AH825" s="5"/>
      <c r="AI825" s="5"/>
      <c r="AJ825" s="5"/>
      <c r="AK825" s="5"/>
      <c r="AL825" s="5"/>
      <c r="AM825" s="5"/>
    </row>
    <row r="826" spans="1:39" ht="15.75" customHeight="1" x14ac:dyDescent="0.2">
      <c r="A826" s="5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5"/>
      <c r="AF826" s="5"/>
      <c r="AG826" s="5"/>
      <c r="AH826" s="5"/>
      <c r="AI826" s="5"/>
      <c r="AJ826" s="5"/>
      <c r="AK826" s="5"/>
      <c r="AL826" s="5"/>
      <c r="AM826" s="5"/>
    </row>
    <row r="827" spans="1:39" ht="15.75" customHeight="1" x14ac:dyDescent="0.2">
      <c r="A827" s="5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5"/>
      <c r="AF827" s="5"/>
      <c r="AG827" s="5"/>
      <c r="AH827" s="5"/>
      <c r="AI827" s="5"/>
      <c r="AJ827" s="5"/>
      <c r="AK827" s="5"/>
      <c r="AL827" s="5"/>
      <c r="AM827" s="5"/>
    </row>
    <row r="828" spans="1:39" ht="15.75" customHeight="1" x14ac:dyDescent="0.2">
      <c r="A828" s="5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5"/>
      <c r="AF828" s="5"/>
      <c r="AG828" s="5"/>
      <c r="AH828" s="5"/>
      <c r="AI828" s="5"/>
      <c r="AJ828" s="5"/>
      <c r="AK828" s="5"/>
      <c r="AL828" s="5"/>
      <c r="AM828" s="5"/>
    </row>
    <row r="829" spans="1:39" ht="15.75" customHeight="1" x14ac:dyDescent="0.2">
      <c r="A829" s="5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5"/>
      <c r="AF829" s="5"/>
      <c r="AG829" s="5"/>
      <c r="AH829" s="5"/>
      <c r="AI829" s="5"/>
      <c r="AJ829" s="5"/>
      <c r="AK829" s="5"/>
      <c r="AL829" s="5"/>
      <c r="AM829" s="5"/>
    </row>
    <row r="830" spans="1:39" ht="15.75" customHeight="1" x14ac:dyDescent="0.2">
      <c r="A830" s="5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5"/>
      <c r="AF830" s="5"/>
      <c r="AG830" s="5"/>
      <c r="AH830" s="5"/>
      <c r="AI830" s="5"/>
      <c r="AJ830" s="5"/>
      <c r="AK830" s="5"/>
      <c r="AL830" s="5"/>
      <c r="AM830" s="5"/>
    </row>
    <row r="831" spans="1:39" ht="15.75" customHeight="1" x14ac:dyDescent="0.2">
      <c r="A831" s="5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5"/>
      <c r="AF831" s="5"/>
      <c r="AG831" s="5"/>
      <c r="AH831" s="5"/>
      <c r="AI831" s="5"/>
      <c r="AJ831" s="5"/>
      <c r="AK831" s="5"/>
      <c r="AL831" s="5"/>
      <c r="AM831" s="5"/>
    </row>
    <row r="832" spans="1:39" ht="15.75" customHeight="1" x14ac:dyDescent="0.2">
      <c r="A832" s="5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5"/>
      <c r="AF832" s="5"/>
      <c r="AG832" s="5"/>
      <c r="AH832" s="5"/>
      <c r="AI832" s="5"/>
      <c r="AJ832" s="5"/>
      <c r="AK832" s="5"/>
      <c r="AL832" s="5"/>
      <c r="AM832" s="5"/>
    </row>
    <row r="833" spans="1:39" ht="15.75" customHeight="1" x14ac:dyDescent="0.2">
      <c r="A833" s="5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5"/>
      <c r="AF833" s="5"/>
      <c r="AG833" s="5"/>
      <c r="AH833" s="5"/>
      <c r="AI833" s="5"/>
      <c r="AJ833" s="5"/>
      <c r="AK833" s="5"/>
      <c r="AL833" s="5"/>
      <c r="AM833" s="5"/>
    </row>
    <row r="834" spans="1:39" ht="15.75" customHeight="1" x14ac:dyDescent="0.2">
      <c r="A834" s="5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5"/>
      <c r="AF834" s="5"/>
      <c r="AG834" s="5"/>
      <c r="AH834" s="5"/>
      <c r="AI834" s="5"/>
      <c r="AJ834" s="5"/>
      <c r="AK834" s="5"/>
      <c r="AL834" s="5"/>
      <c r="AM834" s="5"/>
    </row>
    <row r="835" spans="1:39" ht="15.75" customHeight="1" x14ac:dyDescent="0.2">
      <c r="A835" s="5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5"/>
      <c r="AF835" s="5"/>
      <c r="AG835" s="5"/>
      <c r="AH835" s="5"/>
      <c r="AI835" s="5"/>
      <c r="AJ835" s="5"/>
      <c r="AK835" s="5"/>
      <c r="AL835" s="5"/>
      <c r="AM835" s="5"/>
    </row>
    <row r="836" spans="1:39" ht="15.75" customHeight="1" x14ac:dyDescent="0.2">
      <c r="A836" s="5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5"/>
      <c r="AF836" s="5"/>
      <c r="AG836" s="5"/>
      <c r="AH836" s="5"/>
      <c r="AI836" s="5"/>
      <c r="AJ836" s="5"/>
      <c r="AK836" s="5"/>
      <c r="AL836" s="5"/>
      <c r="AM836" s="5"/>
    </row>
    <row r="837" spans="1:39" ht="15.75" customHeight="1" x14ac:dyDescent="0.2">
      <c r="A837" s="5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5"/>
      <c r="AF837" s="5"/>
      <c r="AG837" s="5"/>
      <c r="AH837" s="5"/>
      <c r="AI837" s="5"/>
      <c r="AJ837" s="5"/>
      <c r="AK837" s="5"/>
      <c r="AL837" s="5"/>
      <c r="AM837" s="5"/>
    </row>
    <row r="838" spans="1:39" ht="15.75" customHeight="1" x14ac:dyDescent="0.2">
      <c r="A838" s="5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5"/>
      <c r="AF838" s="5"/>
      <c r="AG838" s="5"/>
      <c r="AH838" s="5"/>
      <c r="AI838" s="5"/>
      <c r="AJ838" s="5"/>
      <c r="AK838" s="5"/>
      <c r="AL838" s="5"/>
      <c r="AM838" s="5"/>
    </row>
    <row r="839" spans="1:39" ht="15.75" customHeight="1" x14ac:dyDescent="0.2">
      <c r="A839" s="5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5"/>
      <c r="AF839" s="5"/>
      <c r="AG839" s="5"/>
      <c r="AH839" s="5"/>
      <c r="AI839" s="5"/>
      <c r="AJ839" s="5"/>
      <c r="AK839" s="5"/>
      <c r="AL839" s="5"/>
      <c r="AM839" s="5"/>
    </row>
    <row r="840" spans="1:39" ht="15.75" customHeight="1" x14ac:dyDescent="0.2">
      <c r="A840" s="5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5"/>
      <c r="AF840" s="5"/>
      <c r="AG840" s="5"/>
      <c r="AH840" s="5"/>
      <c r="AI840" s="5"/>
      <c r="AJ840" s="5"/>
      <c r="AK840" s="5"/>
      <c r="AL840" s="5"/>
      <c r="AM840" s="5"/>
    </row>
    <row r="841" spans="1:39" ht="15.75" customHeight="1" x14ac:dyDescent="0.2">
      <c r="A841" s="5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5"/>
      <c r="AF841" s="5"/>
      <c r="AG841" s="5"/>
      <c r="AH841" s="5"/>
      <c r="AI841" s="5"/>
      <c r="AJ841" s="5"/>
      <c r="AK841" s="5"/>
      <c r="AL841" s="5"/>
      <c r="AM841" s="5"/>
    </row>
    <row r="842" spans="1:39" ht="15.75" customHeight="1" x14ac:dyDescent="0.2">
      <c r="A842" s="5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5"/>
      <c r="AF842" s="5"/>
      <c r="AG842" s="5"/>
      <c r="AH842" s="5"/>
      <c r="AI842" s="5"/>
      <c r="AJ842" s="5"/>
      <c r="AK842" s="5"/>
      <c r="AL842" s="5"/>
      <c r="AM842" s="5"/>
    </row>
    <row r="843" spans="1:39" ht="15.75" customHeight="1" x14ac:dyDescent="0.2">
      <c r="A843" s="5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5"/>
      <c r="AF843" s="5"/>
      <c r="AG843" s="5"/>
      <c r="AH843" s="5"/>
      <c r="AI843" s="5"/>
      <c r="AJ843" s="5"/>
      <c r="AK843" s="5"/>
      <c r="AL843" s="5"/>
      <c r="AM843" s="5"/>
    </row>
    <row r="844" spans="1:39" ht="15.75" customHeight="1" x14ac:dyDescent="0.2">
      <c r="A844" s="5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5"/>
      <c r="AF844" s="5"/>
      <c r="AG844" s="5"/>
      <c r="AH844" s="5"/>
      <c r="AI844" s="5"/>
      <c r="AJ844" s="5"/>
      <c r="AK844" s="5"/>
      <c r="AL844" s="5"/>
      <c r="AM844" s="5"/>
    </row>
    <row r="845" spans="1:39" ht="15.75" customHeight="1" x14ac:dyDescent="0.2">
      <c r="A845" s="5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5"/>
      <c r="AF845" s="5"/>
      <c r="AG845" s="5"/>
      <c r="AH845" s="5"/>
      <c r="AI845" s="5"/>
      <c r="AJ845" s="5"/>
      <c r="AK845" s="5"/>
      <c r="AL845" s="5"/>
      <c r="AM845" s="5"/>
    </row>
    <row r="846" spans="1:39" ht="15.75" customHeight="1" x14ac:dyDescent="0.2">
      <c r="A846" s="5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5"/>
      <c r="AF846" s="5"/>
      <c r="AG846" s="5"/>
      <c r="AH846" s="5"/>
      <c r="AI846" s="5"/>
      <c r="AJ846" s="5"/>
      <c r="AK846" s="5"/>
      <c r="AL846" s="5"/>
      <c r="AM846" s="5"/>
    </row>
    <row r="847" spans="1:39" ht="15.75" customHeight="1" x14ac:dyDescent="0.2">
      <c r="A847" s="5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5"/>
      <c r="AF847" s="5"/>
      <c r="AG847" s="5"/>
      <c r="AH847" s="5"/>
      <c r="AI847" s="5"/>
      <c r="AJ847" s="5"/>
      <c r="AK847" s="5"/>
      <c r="AL847" s="5"/>
      <c r="AM847" s="5"/>
    </row>
    <row r="848" spans="1:39" ht="15.75" customHeight="1" x14ac:dyDescent="0.2">
      <c r="A848" s="5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5"/>
      <c r="AF848" s="5"/>
      <c r="AG848" s="5"/>
      <c r="AH848" s="5"/>
      <c r="AI848" s="5"/>
      <c r="AJ848" s="5"/>
      <c r="AK848" s="5"/>
      <c r="AL848" s="5"/>
      <c r="AM848" s="5"/>
    </row>
    <row r="849" spans="1:39" ht="15.75" customHeight="1" x14ac:dyDescent="0.2">
      <c r="A849" s="5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5"/>
      <c r="AF849" s="5"/>
      <c r="AG849" s="5"/>
      <c r="AH849" s="5"/>
      <c r="AI849" s="5"/>
      <c r="AJ849" s="5"/>
      <c r="AK849" s="5"/>
      <c r="AL849" s="5"/>
      <c r="AM849" s="5"/>
    </row>
    <row r="850" spans="1:39" ht="15.75" customHeight="1" x14ac:dyDescent="0.2">
      <c r="A850" s="5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5"/>
      <c r="AF850" s="5"/>
      <c r="AG850" s="5"/>
      <c r="AH850" s="5"/>
      <c r="AI850" s="5"/>
      <c r="AJ850" s="5"/>
      <c r="AK850" s="5"/>
      <c r="AL850" s="5"/>
      <c r="AM850" s="5"/>
    </row>
    <row r="851" spans="1:39" ht="15.75" customHeight="1" x14ac:dyDescent="0.2">
      <c r="A851" s="5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5"/>
      <c r="AF851" s="5"/>
      <c r="AG851" s="5"/>
      <c r="AH851" s="5"/>
      <c r="AI851" s="5"/>
      <c r="AJ851" s="5"/>
      <c r="AK851" s="5"/>
      <c r="AL851" s="5"/>
      <c r="AM851" s="5"/>
    </row>
    <row r="852" spans="1:39" ht="15.75" customHeight="1" x14ac:dyDescent="0.2">
      <c r="A852" s="5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5"/>
      <c r="AF852" s="5"/>
      <c r="AG852" s="5"/>
      <c r="AH852" s="5"/>
      <c r="AI852" s="5"/>
      <c r="AJ852" s="5"/>
      <c r="AK852" s="5"/>
      <c r="AL852" s="5"/>
      <c r="AM852" s="5"/>
    </row>
    <row r="853" spans="1:39" ht="15.75" customHeight="1" x14ac:dyDescent="0.2">
      <c r="A853" s="5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5"/>
      <c r="AF853" s="5"/>
      <c r="AG853" s="5"/>
      <c r="AH853" s="5"/>
      <c r="AI853" s="5"/>
      <c r="AJ853" s="5"/>
      <c r="AK853" s="5"/>
      <c r="AL853" s="5"/>
      <c r="AM853" s="5"/>
    </row>
    <row r="854" spans="1:39" ht="15.75" customHeight="1" x14ac:dyDescent="0.2">
      <c r="A854" s="5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5"/>
      <c r="AF854" s="5"/>
      <c r="AG854" s="5"/>
      <c r="AH854" s="5"/>
      <c r="AI854" s="5"/>
      <c r="AJ854" s="5"/>
      <c r="AK854" s="5"/>
      <c r="AL854" s="5"/>
      <c r="AM854" s="5"/>
    </row>
    <row r="855" spans="1:39" ht="15.75" customHeight="1" x14ac:dyDescent="0.2">
      <c r="A855" s="5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5"/>
      <c r="AF855" s="5"/>
      <c r="AG855" s="5"/>
      <c r="AH855" s="5"/>
      <c r="AI855" s="5"/>
      <c r="AJ855" s="5"/>
      <c r="AK855" s="5"/>
      <c r="AL855" s="5"/>
      <c r="AM855" s="5"/>
    </row>
    <row r="856" spans="1:39" ht="15.75" customHeight="1" x14ac:dyDescent="0.2">
      <c r="A856" s="5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5"/>
      <c r="AF856" s="5"/>
      <c r="AG856" s="5"/>
      <c r="AH856" s="5"/>
      <c r="AI856" s="5"/>
      <c r="AJ856" s="5"/>
      <c r="AK856" s="5"/>
      <c r="AL856" s="5"/>
      <c r="AM856" s="5"/>
    </row>
    <row r="857" spans="1:39" ht="15.75" customHeight="1" x14ac:dyDescent="0.2">
      <c r="A857" s="5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5"/>
      <c r="AF857" s="5"/>
      <c r="AG857" s="5"/>
      <c r="AH857" s="5"/>
      <c r="AI857" s="5"/>
      <c r="AJ857" s="5"/>
      <c r="AK857" s="5"/>
      <c r="AL857" s="5"/>
      <c r="AM857" s="5"/>
    </row>
    <row r="858" spans="1:39" ht="15.75" customHeight="1" x14ac:dyDescent="0.2">
      <c r="A858" s="5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5"/>
      <c r="AF858" s="5"/>
      <c r="AG858" s="5"/>
      <c r="AH858" s="5"/>
      <c r="AI858" s="5"/>
      <c r="AJ858" s="5"/>
      <c r="AK858" s="5"/>
      <c r="AL858" s="5"/>
      <c r="AM858" s="5"/>
    </row>
    <row r="859" spans="1:39" ht="15.75" customHeight="1" x14ac:dyDescent="0.2">
      <c r="A859" s="5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5"/>
      <c r="AF859" s="5"/>
      <c r="AG859" s="5"/>
      <c r="AH859" s="5"/>
      <c r="AI859" s="5"/>
      <c r="AJ859" s="5"/>
      <c r="AK859" s="5"/>
      <c r="AL859" s="5"/>
      <c r="AM859" s="5"/>
    </row>
    <row r="860" spans="1:39" ht="15.75" customHeight="1" x14ac:dyDescent="0.2">
      <c r="A860" s="5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5"/>
      <c r="AF860" s="5"/>
      <c r="AG860" s="5"/>
      <c r="AH860" s="5"/>
      <c r="AI860" s="5"/>
      <c r="AJ860" s="5"/>
      <c r="AK860" s="5"/>
      <c r="AL860" s="5"/>
      <c r="AM860" s="5"/>
    </row>
    <row r="861" spans="1:39" ht="15.75" customHeight="1" x14ac:dyDescent="0.2">
      <c r="A861" s="5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5"/>
      <c r="AF861" s="5"/>
      <c r="AG861" s="5"/>
      <c r="AH861" s="5"/>
      <c r="AI861" s="5"/>
      <c r="AJ861" s="5"/>
      <c r="AK861" s="5"/>
      <c r="AL861" s="5"/>
      <c r="AM861" s="5"/>
    </row>
    <row r="862" spans="1:39" ht="15.75" customHeight="1" x14ac:dyDescent="0.2">
      <c r="A862" s="5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5"/>
      <c r="AF862" s="5"/>
      <c r="AG862" s="5"/>
      <c r="AH862" s="5"/>
      <c r="AI862" s="5"/>
      <c r="AJ862" s="5"/>
      <c r="AK862" s="5"/>
      <c r="AL862" s="5"/>
      <c r="AM862" s="5"/>
    </row>
    <row r="863" spans="1:39" ht="15.75" customHeight="1" x14ac:dyDescent="0.2">
      <c r="A863" s="5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5"/>
      <c r="AF863" s="5"/>
      <c r="AG863" s="5"/>
      <c r="AH863" s="5"/>
      <c r="AI863" s="5"/>
      <c r="AJ863" s="5"/>
      <c r="AK863" s="5"/>
      <c r="AL863" s="5"/>
      <c r="AM863" s="5"/>
    </row>
    <row r="864" spans="1:39" ht="15.75" customHeight="1" x14ac:dyDescent="0.2">
      <c r="A864" s="5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5"/>
      <c r="AF864" s="5"/>
      <c r="AG864" s="5"/>
      <c r="AH864" s="5"/>
      <c r="AI864" s="5"/>
      <c r="AJ864" s="5"/>
      <c r="AK864" s="5"/>
      <c r="AL864" s="5"/>
      <c r="AM864" s="5"/>
    </row>
    <row r="865" spans="1:39" ht="15.75" customHeight="1" x14ac:dyDescent="0.2">
      <c r="A865" s="5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5"/>
      <c r="AF865" s="5"/>
      <c r="AG865" s="5"/>
      <c r="AH865" s="5"/>
      <c r="AI865" s="5"/>
      <c r="AJ865" s="5"/>
      <c r="AK865" s="5"/>
      <c r="AL865" s="5"/>
      <c r="AM865" s="5"/>
    </row>
    <row r="866" spans="1:39" ht="15.75" customHeight="1" x14ac:dyDescent="0.2">
      <c r="A866" s="5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5"/>
      <c r="AF866" s="5"/>
      <c r="AG866" s="5"/>
      <c r="AH866" s="5"/>
      <c r="AI866" s="5"/>
      <c r="AJ866" s="5"/>
      <c r="AK866" s="5"/>
      <c r="AL866" s="5"/>
      <c r="AM866" s="5"/>
    </row>
    <row r="867" spans="1:39" ht="15.75" customHeight="1" x14ac:dyDescent="0.2">
      <c r="A867" s="5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5"/>
      <c r="AF867" s="5"/>
      <c r="AG867" s="5"/>
      <c r="AH867" s="5"/>
      <c r="AI867" s="5"/>
      <c r="AJ867" s="5"/>
      <c r="AK867" s="5"/>
      <c r="AL867" s="5"/>
      <c r="AM867" s="5"/>
    </row>
    <row r="868" spans="1:39" ht="15.75" customHeight="1" x14ac:dyDescent="0.2">
      <c r="A868" s="5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5"/>
      <c r="AF868" s="5"/>
      <c r="AG868" s="5"/>
      <c r="AH868" s="5"/>
      <c r="AI868" s="5"/>
      <c r="AJ868" s="5"/>
      <c r="AK868" s="5"/>
      <c r="AL868" s="5"/>
      <c r="AM868" s="5"/>
    </row>
    <row r="869" spans="1:39" ht="15.75" customHeight="1" x14ac:dyDescent="0.2">
      <c r="A869" s="5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5"/>
      <c r="AF869" s="5"/>
      <c r="AG869" s="5"/>
      <c r="AH869" s="5"/>
      <c r="AI869" s="5"/>
      <c r="AJ869" s="5"/>
      <c r="AK869" s="5"/>
      <c r="AL869" s="5"/>
      <c r="AM869" s="5"/>
    </row>
    <row r="870" spans="1:39" ht="15.75" customHeight="1" x14ac:dyDescent="0.2">
      <c r="A870" s="5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5"/>
      <c r="AF870" s="5"/>
      <c r="AG870" s="5"/>
      <c r="AH870" s="5"/>
      <c r="AI870" s="5"/>
      <c r="AJ870" s="5"/>
      <c r="AK870" s="5"/>
      <c r="AL870" s="5"/>
      <c r="AM870" s="5"/>
    </row>
    <row r="871" spans="1:39" ht="15.75" customHeight="1" x14ac:dyDescent="0.2">
      <c r="A871" s="5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5"/>
      <c r="AF871" s="5"/>
      <c r="AG871" s="5"/>
      <c r="AH871" s="5"/>
      <c r="AI871" s="5"/>
      <c r="AJ871" s="5"/>
      <c r="AK871" s="5"/>
      <c r="AL871" s="5"/>
      <c r="AM871" s="5"/>
    </row>
    <row r="872" spans="1:39" ht="15.75" customHeight="1" x14ac:dyDescent="0.2">
      <c r="A872" s="5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5"/>
      <c r="AF872" s="5"/>
      <c r="AG872" s="5"/>
      <c r="AH872" s="5"/>
      <c r="AI872" s="5"/>
      <c r="AJ872" s="5"/>
      <c r="AK872" s="5"/>
      <c r="AL872" s="5"/>
      <c r="AM872" s="5"/>
    </row>
    <row r="873" spans="1:39" ht="15.75" customHeight="1" x14ac:dyDescent="0.2">
      <c r="A873" s="5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5"/>
      <c r="AF873" s="5"/>
      <c r="AG873" s="5"/>
      <c r="AH873" s="5"/>
      <c r="AI873" s="5"/>
      <c r="AJ873" s="5"/>
      <c r="AK873" s="5"/>
      <c r="AL873" s="5"/>
      <c r="AM873" s="5"/>
    </row>
    <row r="874" spans="1:39" ht="15.75" customHeight="1" x14ac:dyDescent="0.2">
      <c r="A874" s="5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5"/>
      <c r="AF874" s="5"/>
      <c r="AG874" s="5"/>
      <c r="AH874" s="5"/>
      <c r="AI874" s="5"/>
      <c r="AJ874" s="5"/>
      <c r="AK874" s="5"/>
      <c r="AL874" s="5"/>
      <c r="AM874" s="5"/>
    </row>
    <row r="875" spans="1:39" ht="15.75" customHeight="1" x14ac:dyDescent="0.2">
      <c r="A875" s="5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5"/>
      <c r="AF875" s="5"/>
      <c r="AG875" s="5"/>
      <c r="AH875" s="5"/>
      <c r="AI875" s="5"/>
      <c r="AJ875" s="5"/>
      <c r="AK875" s="5"/>
      <c r="AL875" s="5"/>
      <c r="AM875" s="5"/>
    </row>
    <row r="876" spans="1:39" ht="15.75" customHeight="1" x14ac:dyDescent="0.2">
      <c r="A876" s="5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5"/>
      <c r="AF876" s="5"/>
      <c r="AG876" s="5"/>
      <c r="AH876" s="5"/>
      <c r="AI876" s="5"/>
      <c r="AJ876" s="5"/>
      <c r="AK876" s="5"/>
      <c r="AL876" s="5"/>
      <c r="AM876" s="5"/>
    </row>
    <row r="877" spans="1:39" ht="15.75" customHeight="1" x14ac:dyDescent="0.2">
      <c r="A877" s="5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5"/>
      <c r="AF877" s="5"/>
      <c r="AG877" s="5"/>
      <c r="AH877" s="5"/>
      <c r="AI877" s="5"/>
      <c r="AJ877" s="5"/>
      <c r="AK877" s="5"/>
      <c r="AL877" s="5"/>
      <c r="AM877" s="5"/>
    </row>
    <row r="878" spans="1:39" ht="15.75" customHeight="1" x14ac:dyDescent="0.2">
      <c r="A878" s="5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5"/>
      <c r="AF878" s="5"/>
      <c r="AG878" s="5"/>
      <c r="AH878" s="5"/>
      <c r="AI878" s="5"/>
      <c r="AJ878" s="5"/>
      <c r="AK878" s="5"/>
      <c r="AL878" s="5"/>
      <c r="AM878" s="5"/>
    </row>
    <row r="879" spans="1:39" ht="15.75" customHeight="1" x14ac:dyDescent="0.2">
      <c r="A879" s="5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5"/>
      <c r="AF879" s="5"/>
      <c r="AG879" s="5"/>
      <c r="AH879" s="5"/>
      <c r="AI879" s="5"/>
      <c r="AJ879" s="5"/>
      <c r="AK879" s="5"/>
      <c r="AL879" s="5"/>
      <c r="AM879" s="5"/>
    </row>
    <row r="880" spans="1:39" ht="15.75" customHeight="1" x14ac:dyDescent="0.2">
      <c r="A880" s="5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5"/>
      <c r="AF880" s="5"/>
      <c r="AG880" s="5"/>
      <c r="AH880" s="5"/>
      <c r="AI880" s="5"/>
      <c r="AJ880" s="5"/>
      <c r="AK880" s="5"/>
      <c r="AL880" s="5"/>
      <c r="AM880" s="5"/>
    </row>
    <row r="881" spans="1:39" ht="15.75" customHeight="1" x14ac:dyDescent="0.2">
      <c r="A881" s="5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5"/>
      <c r="AF881" s="5"/>
      <c r="AG881" s="5"/>
      <c r="AH881" s="5"/>
      <c r="AI881" s="5"/>
      <c r="AJ881" s="5"/>
      <c r="AK881" s="5"/>
      <c r="AL881" s="5"/>
      <c r="AM881" s="5"/>
    </row>
    <row r="882" spans="1:39" ht="15.75" customHeight="1" x14ac:dyDescent="0.2">
      <c r="A882" s="5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5"/>
      <c r="AF882" s="5"/>
      <c r="AG882" s="5"/>
      <c r="AH882" s="5"/>
      <c r="AI882" s="5"/>
      <c r="AJ882" s="5"/>
      <c r="AK882" s="5"/>
      <c r="AL882" s="5"/>
      <c r="AM882" s="5"/>
    </row>
    <row r="883" spans="1:39" ht="15.75" customHeight="1" x14ac:dyDescent="0.2">
      <c r="A883" s="5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5"/>
      <c r="AF883" s="5"/>
      <c r="AG883" s="5"/>
      <c r="AH883" s="5"/>
      <c r="AI883" s="5"/>
      <c r="AJ883" s="5"/>
      <c r="AK883" s="5"/>
      <c r="AL883" s="5"/>
      <c r="AM883" s="5"/>
    </row>
    <row r="884" spans="1:39" ht="15.75" customHeight="1" x14ac:dyDescent="0.2">
      <c r="A884" s="5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5"/>
      <c r="AF884" s="5"/>
      <c r="AG884" s="5"/>
      <c r="AH884" s="5"/>
      <c r="AI884" s="5"/>
      <c r="AJ884" s="5"/>
      <c r="AK884" s="5"/>
      <c r="AL884" s="5"/>
      <c r="AM884" s="5"/>
    </row>
    <row r="885" spans="1:39" ht="15.75" customHeight="1" x14ac:dyDescent="0.2">
      <c r="A885" s="5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5"/>
      <c r="AF885" s="5"/>
      <c r="AG885" s="5"/>
      <c r="AH885" s="5"/>
      <c r="AI885" s="5"/>
      <c r="AJ885" s="5"/>
      <c r="AK885" s="5"/>
      <c r="AL885" s="5"/>
      <c r="AM885" s="5"/>
    </row>
    <row r="886" spans="1:39" ht="15.75" customHeight="1" x14ac:dyDescent="0.2">
      <c r="A886" s="5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5"/>
      <c r="AF886" s="5"/>
      <c r="AG886" s="5"/>
      <c r="AH886" s="5"/>
      <c r="AI886" s="5"/>
      <c r="AJ886" s="5"/>
      <c r="AK886" s="5"/>
      <c r="AL886" s="5"/>
      <c r="AM886" s="5"/>
    </row>
    <row r="887" spans="1:39" ht="15.75" customHeight="1" x14ac:dyDescent="0.2">
      <c r="A887" s="5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5"/>
      <c r="AF887" s="5"/>
      <c r="AG887" s="5"/>
      <c r="AH887" s="5"/>
      <c r="AI887" s="5"/>
      <c r="AJ887" s="5"/>
      <c r="AK887" s="5"/>
      <c r="AL887" s="5"/>
      <c r="AM887" s="5"/>
    </row>
    <row r="888" spans="1:39" ht="15.75" customHeight="1" x14ac:dyDescent="0.2">
      <c r="A888" s="5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5"/>
      <c r="AF888" s="5"/>
      <c r="AG888" s="5"/>
      <c r="AH888" s="5"/>
      <c r="AI888" s="5"/>
      <c r="AJ888" s="5"/>
      <c r="AK888" s="5"/>
      <c r="AL888" s="5"/>
      <c r="AM888" s="5"/>
    </row>
    <row r="889" spans="1:39" ht="15.75" customHeight="1" x14ac:dyDescent="0.2">
      <c r="A889" s="5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5"/>
      <c r="AF889" s="5"/>
      <c r="AG889" s="5"/>
      <c r="AH889" s="5"/>
      <c r="AI889" s="5"/>
      <c r="AJ889" s="5"/>
      <c r="AK889" s="5"/>
      <c r="AL889" s="5"/>
      <c r="AM889" s="5"/>
    </row>
    <row r="890" spans="1:39" ht="15.75" customHeight="1" x14ac:dyDescent="0.2">
      <c r="A890" s="5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5"/>
      <c r="AF890" s="5"/>
      <c r="AG890" s="5"/>
      <c r="AH890" s="5"/>
      <c r="AI890" s="5"/>
      <c r="AJ890" s="5"/>
      <c r="AK890" s="5"/>
      <c r="AL890" s="5"/>
      <c r="AM890" s="5"/>
    </row>
    <row r="891" spans="1:39" ht="15.75" customHeight="1" x14ac:dyDescent="0.2">
      <c r="A891" s="5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5"/>
      <c r="AF891" s="5"/>
      <c r="AG891" s="5"/>
      <c r="AH891" s="5"/>
      <c r="AI891" s="5"/>
      <c r="AJ891" s="5"/>
      <c r="AK891" s="5"/>
      <c r="AL891" s="5"/>
      <c r="AM891" s="5"/>
    </row>
    <row r="892" spans="1:39" ht="15.75" customHeight="1" x14ac:dyDescent="0.2">
      <c r="A892" s="5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5"/>
      <c r="AF892" s="5"/>
      <c r="AG892" s="5"/>
      <c r="AH892" s="5"/>
      <c r="AI892" s="5"/>
      <c r="AJ892" s="5"/>
      <c r="AK892" s="5"/>
      <c r="AL892" s="5"/>
      <c r="AM892" s="5"/>
    </row>
    <row r="893" spans="1:39" ht="15.75" customHeight="1" x14ac:dyDescent="0.2">
      <c r="A893" s="5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5"/>
      <c r="AF893" s="5"/>
      <c r="AG893" s="5"/>
      <c r="AH893" s="5"/>
      <c r="AI893" s="5"/>
      <c r="AJ893" s="5"/>
      <c r="AK893" s="5"/>
      <c r="AL893" s="5"/>
      <c r="AM893" s="5"/>
    </row>
    <row r="894" spans="1:39" ht="15.75" customHeight="1" x14ac:dyDescent="0.2">
      <c r="A894" s="5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5"/>
      <c r="AF894" s="5"/>
      <c r="AG894" s="5"/>
      <c r="AH894" s="5"/>
      <c r="AI894" s="5"/>
      <c r="AJ894" s="5"/>
      <c r="AK894" s="5"/>
      <c r="AL894" s="5"/>
      <c r="AM894" s="5"/>
    </row>
    <row r="895" spans="1:39" ht="15.75" customHeight="1" x14ac:dyDescent="0.2">
      <c r="A895" s="5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5"/>
      <c r="AF895" s="5"/>
      <c r="AG895" s="5"/>
      <c r="AH895" s="5"/>
      <c r="AI895" s="5"/>
      <c r="AJ895" s="5"/>
      <c r="AK895" s="5"/>
      <c r="AL895" s="5"/>
      <c r="AM895" s="5"/>
    </row>
    <row r="896" spans="1:39" ht="15.75" customHeight="1" x14ac:dyDescent="0.2">
      <c r="A896" s="5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5"/>
      <c r="AF896" s="5"/>
      <c r="AG896" s="5"/>
      <c r="AH896" s="5"/>
      <c r="AI896" s="5"/>
      <c r="AJ896" s="5"/>
      <c r="AK896" s="5"/>
      <c r="AL896" s="5"/>
      <c r="AM896" s="5"/>
    </row>
    <row r="897" spans="1:39" ht="15.75" customHeight="1" x14ac:dyDescent="0.2">
      <c r="A897" s="5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5"/>
      <c r="AF897" s="5"/>
      <c r="AG897" s="5"/>
      <c r="AH897" s="5"/>
      <c r="AI897" s="5"/>
      <c r="AJ897" s="5"/>
      <c r="AK897" s="5"/>
      <c r="AL897" s="5"/>
      <c r="AM897" s="5"/>
    </row>
    <row r="898" spans="1:39" ht="15.75" customHeight="1" x14ac:dyDescent="0.2">
      <c r="A898" s="5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5"/>
      <c r="AF898" s="5"/>
      <c r="AG898" s="5"/>
      <c r="AH898" s="5"/>
      <c r="AI898" s="5"/>
      <c r="AJ898" s="5"/>
      <c r="AK898" s="5"/>
      <c r="AL898" s="5"/>
      <c r="AM898" s="5"/>
    </row>
    <row r="899" spans="1:39" ht="15.75" customHeight="1" x14ac:dyDescent="0.2">
      <c r="A899" s="5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5"/>
      <c r="AF899" s="5"/>
      <c r="AG899" s="5"/>
      <c r="AH899" s="5"/>
      <c r="AI899" s="5"/>
      <c r="AJ899" s="5"/>
      <c r="AK899" s="5"/>
      <c r="AL899" s="5"/>
      <c r="AM899" s="5"/>
    </row>
    <row r="900" spans="1:39" ht="15.75" customHeight="1" x14ac:dyDescent="0.2">
      <c r="A900" s="5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5"/>
      <c r="AF900" s="5"/>
      <c r="AG900" s="5"/>
      <c r="AH900" s="5"/>
      <c r="AI900" s="5"/>
      <c r="AJ900" s="5"/>
      <c r="AK900" s="5"/>
      <c r="AL900" s="5"/>
      <c r="AM900" s="5"/>
    </row>
    <row r="901" spans="1:39" ht="15.75" customHeight="1" x14ac:dyDescent="0.2">
      <c r="A901" s="5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5"/>
      <c r="AF901" s="5"/>
      <c r="AG901" s="5"/>
      <c r="AH901" s="5"/>
      <c r="AI901" s="5"/>
      <c r="AJ901" s="5"/>
      <c r="AK901" s="5"/>
      <c r="AL901" s="5"/>
      <c r="AM901" s="5"/>
    </row>
    <row r="902" spans="1:39" ht="15.75" customHeight="1" x14ac:dyDescent="0.2">
      <c r="A902" s="5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5"/>
      <c r="AF902" s="5"/>
      <c r="AG902" s="5"/>
      <c r="AH902" s="5"/>
      <c r="AI902" s="5"/>
      <c r="AJ902" s="5"/>
      <c r="AK902" s="5"/>
      <c r="AL902" s="5"/>
      <c r="AM902" s="5"/>
    </row>
    <row r="903" spans="1:39" ht="15.75" customHeight="1" x14ac:dyDescent="0.2">
      <c r="A903" s="5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5"/>
      <c r="AF903" s="5"/>
      <c r="AG903" s="5"/>
      <c r="AH903" s="5"/>
      <c r="AI903" s="5"/>
      <c r="AJ903" s="5"/>
      <c r="AK903" s="5"/>
      <c r="AL903" s="5"/>
      <c r="AM903" s="5"/>
    </row>
    <row r="904" spans="1:39" ht="15.75" customHeight="1" x14ac:dyDescent="0.2">
      <c r="A904" s="5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5"/>
      <c r="AF904" s="5"/>
      <c r="AG904" s="5"/>
      <c r="AH904" s="5"/>
      <c r="AI904" s="5"/>
      <c r="AJ904" s="5"/>
      <c r="AK904" s="5"/>
      <c r="AL904" s="5"/>
      <c r="AM904" s="5"/>
    </row>
    <row r="905" spans="1:39" ht="15.75" customHeight="1" x14ac:dyDescent="0.2">
      <c r="A905" s="5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5"/>
      <c r="AF905" s="5"/>
      <c r="AG905" s="5"/>
      <c r="AH905" s="5"/>
      <c r="AI905" s="5"/>
      <c r="AJ905" s="5"/>
      <c r="AK905" s="5"/>
      <c r="AL905" s="5"/>
      <c r="AM905" s="5"/>
    </row>
    <row r="906" spans="1:39" ht="15.75" customHeight="1" x14ac:dyDescent="0.2">
      <c r="A906" s="5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5"/>
      <c r="AF906" s="5"/>
      <c r="AG906" s="5"/>
      <c r="AH906" s="5"/>
      <c r="AI906" s="5"/>
      <c r="AJ906" s="5"/>
      <c r="AK906" s="5"/>
      <c r="AL906" s="5"/>
      <c r="AM906" s="5"/>
    </row>
    <row r="907" spans="1:39" ht="15.75" customHeight="1" x14ac:dyDescent="0.2">
      <c r="A907" s="5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5"/>
      <c r="AF907" s="5"/>
      <c r="AG907" s="5"/>
      <c r="AH907" s="5"/>
      <c r="AI907" s="5"/>
      <c r="AJ907" s="5"/>
      <c r="AK907" s="5"/>
      <c r="AL907" s="5"/>
      <c r="AM907" s="5"/>
    </row>
    <row r="908" spans="1:39" ht="15.75" customHeight="1" x14ac:dyDescent="0.2">
      <c r="A908" s="5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5"/>
      <c r="AF908" s="5"/>
      <c r="AG908" s="5"/>
      <c r="AH908" s="5"/>
      <c r="AI908" s="5"/>
      <c r="AJ908" s="5"/>
      <c r="AK908" s="5"/>
      <c r="AL908" s="5"/>
      <c r="AM908" s="5"/>
    </row>
    <row r="909" spans="1:39" ht="15.75" customHeight="1" x14ac:dyDescent="0.2">
      <c r="A909" s="5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5"/>
      <c r="AF909" s="5"/>
      <c r="AG909" s="5"/>
      <c r="AH909" s="5"/>
      <c r="AI909" s="5"/>
      <c r="AJ909" s="5"/>
      <c r="AK909" s="5"/>
      <c r="AL909" s="5"/>
      <c r="AM909" s="5"/>
    </row>
    <row r="910" spans="1:39" ht="15.75" customHeight="1" x14ac:dyDescent="0.2">
      <c r="A910" s="5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5"/>
      <c r="AF910" s="5"/>
      <c r="AG910" s="5"/>
      <c r="AH910" s="5"/>
      <c r="AI910" s="5"/>
      <c r="AJ910" s="5"/>
      <c r="AK910" s="5"/>
      <c r="AL910" s="5"/>
      <c r="AM910" s="5"/>
    </row>
    <row r="911" spans="1:39" ht="15.75" customHeight="1" x14ac:dyDescent="0.2">
      <c r="A911" s="5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5"/>
      <c r="AF911" s="5"/>
      <c r="AG911" s="5"/>
      <c r="AH911" s="5"/>
      <c r="AI911" s="5"/>
      <c r="AJ911" s="5"/>
      <c r="AK911" s="5"/>
      <c r="AL911" s="5"/>
      <c r="AM911" s="5"/>
    </row>
    <row r="912" spans="1:39" ht="15.75" customHeight="1" x14ac:dyDescent="0.2">
      <c r="A912" s="5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5"/>
      <c r="AF912" s="5"/>
      <c r="AG912" s="5"/>
      <c r="AH912" s="5"/>
      <c r="AI912" s="5"/>
      <c r="AJ912" s="5"/>
      <c r="AK912" s="5"/>
      <c r="AL912" s="5"/>
      <c r="AM912" s="5"/>
    </row>
    <row r="913" spans="1:39" ht="15.75" customHeight="1" x14ac:dyDescent="0.2">
      <c r="A913" s="5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5"/>
      <c r="AF913" s="5"/>
      <c r="AG913" s="5"/>
      <c r="AH913" s="5"/>
      <c r="AI913" s="5"/>
      <c r="AJ913" s="5"/>
      <c r="AK913" s="5"/>
      <c r="AL913" s="5"/>
      <c r="AM913" s="5"/>
    </row>
    <row r="914" spans="1:39" ht="15.75" customHeight="1" x14ac:dyDescent="0.2">
      <c r="A914" s="5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5"/>
      <c r="AF914" s="5"/>
      <c r="AG914" s="5"/>
      <c r="AH914" s="5"/>
      <c r="AI914" s="5"/>
      <c r="AJ914" s="5"/>
      <c r="AK914" s="5"/>
      <c r="AL914" s="5"/>
      <c r="AM914" s="5"/>
    </row>
    <row r="915" spans="1:39" ht="15.75" customHeight="1" x14ac:dyDescent="0.2">
      <c r="A915" s="5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5"/>
      <c r="AF915" s="5"/>
      <c r="AG915" s="5"/>
      <c r="AH915" s="5"/>
      <c r="AI915" s="5"/>
      <c r="AJ915" s="5"/>
      <c r="AK915" s="5"/>
      <c r="AL915" s="5"/>
      <c r="AM915" s="5"/>
    </row>
    <row r="916" spans="1:39" ht="15.75" customHeight="1" x14ac:dyDescent="0.2">
      <c r="A916" s="5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5"/>
      <c r="AF916" s="5"/>
      <c r="AG916" s="5"/>
      <c r="AH916" s="5"/>
      <c r="AI916" s="5"/>
      <c r="AJ916" s="5"/>
      <c r="AK916" s="5"/>
      <c r="AL916" s="5"/>
      <c r="AM916" s="5"/>
    </row>
    <row r="917" spans="1:39" ht="15.75" customHeight="1" x14ac:dyDescent="0.2">
      <c r="A917" s="5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5"/>
      <c r="AF917" s="5"/>
      <c r="AG917" s="5"/>
      <c r="AH917" s="5"/>
      <c r="AI917" s="5"/>
      <c r="AJ917" s="5"/>
      <c r="AK917" s="5"/>
      <c r="AL917" s="5"/>
      <c r="AM917" s="5"/>
    </row>
    <row r="918" spans="1:39" ht="15.75" customHeight="1" x14ac:dyDescent="0.2">
      <c r="A918" s="5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5"/>
      <c r="AF918" s="5"/>
      <c r="AG918" s="5"/>
      <c r="AH918" s="5"/>
      <c r="AI918" s="5"/>
      <c r="AJ918" s="5"/>
      <c r="AK918" s="5"/>
      <c r="AL918" s="5"/>
      <c r="AM918" s="5"/>
    </row>
    <row r="919" spans="1:39" ht="15.75" customHeight="1" x14ac:dyDescent="0.2">
      <c r="A919" s="5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5"/>
      <c r="AF919" s="5"/>
      <c r="AG919" s="5"/>
      <c r="AH919" s="5"/>
      <c r="AI919" s="5"/>
      <c r="AJ919" s="5"/>
      <c r="AK919" s="5"/>
      <c r="AL919" s="5"/>
      <c r="AM919" s="5"/>
    </row>
    <row r="920" spans="1:39" ht="15.75" customHeight="1" x14ac:dyDescent="0.2">
      <c r="A920" s="5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5"/>
      <c r="AF920" s="5"/>
      <c r="AG920" s="5"/>
      <c r="AH920" s="5"/>
      <c r="AI920" s="5"/>
      <c r="AJ920" s="5"/>
      <c r="AK920" s="5"/>
      <c r="AL920" s="5"/>
      <c r="AM920" s="5"/>
    </row>
    <row r="921" spans="1:39" ht="15.75" customHeight="1" x14ac:dyDescent="0.2">
      <c r="A921" s="5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5"/>
      <c r="AF921" s="5"/>
      <c r="AG921" s="5"/>
      <c r="AH921" s="5"/>
      <c r="AI921" s="5"/>
      <c r="AJ921" s="5"/>
      <c r="AK921" s="5"/>
      <c r="AL921" s="5"/>
      <c r="AM921" s="5"/>
    </row>
    <row r="922" spans="1:39" ht="15.75" customHeight="1" x14ac:dyDescent="0.2">
      <c r="A922" s="5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5"/>
      <c r="AF922" s="5"/>
      <c r="AG922" s="5"/>
      <c r="AH922" s="5"/>
      <c r="AI922" s="5"/>
      <c r="AJ922" s="5"/>
      <c r="AK922" s="5"/>
      <c r="AL922" s="5"/>
      <c r="AM922" s="5"/>
    </row>
    <row r="923" spans="1:39" ht="15.75" customHeight="1" x14ac:dyDescent="0.2">
      <c r="A923" s="5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5"/>
      <c r="AF923" s="5"/>
      <c r="AG923" s="5"/>
      <c r="AH923" s="5"/>
      <c r="AI923" s="5"/>
      <c r="AJ923" s="5"/>
      <c r="AK923" s="5"/>
      <c r="AL923" s="5"/>
      <c r="AM923" s="5"/>
    </row>
    <row r="924" spans="1:39" ht="15.75" customHeight="1" x14ac:dyDescent="0.2">
      <c r="A924" s="5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5"/>
      <c r="AF924" s="5"/>
      <c r="AG924" s="5"/>
      <c r="AH924" s="5"/>
      <c r="AI924" s="5"/>
      <c r="AJ924" s="5"/>
      <c r="AK924" s="5"/>
      <c r="AL924" s="5"/>
      <c r="AM924" s="5"/>
    </row>
    <row r="925" spans="1:39" ht="15.75" customHeight="1" x14ac:dyDescent="0.2">
      <c r="A925" s="5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5"/>
      <c r="AF925" s="5"/>
      <c r="AG925" s="5"/>
      <c r="AH925" s="5"/>
      <c r="AI925" s="5"/>
      <c r="AJ925" s="5"/>
      <c r="AK925" s="5"/>
      <c r="AL925" s="5"/>
      <c r="AM925" s="5"/>
    </row>
    <row r="926" spans="1:39" ht="15.75" customHeight="1" x14ac:dyDescent="0.2">
      <c r="A926" s="5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5"/>
      <c r="AF926" s="5"/>
      <c r="AG926" s="5"/>
      <c r="AH926" s="5"/>
      <c r="AI926" s="5"/>
      <c r="AJ926" s="5"/>
      <c r="AK926" s="5"/>
      <c r="AL926" s="5"/>
      <c r="AM926" s="5"/>
    </row>
    <row r="927" spans="1:39" ht="15.75" customHeight="1" x14ac:dyDescent="0.2">
      <c r="A927" s="5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5"/>
      <c r="AF927" s="5"/>
      <c r="AG927" s="5"/>
      <c r="AH927" s="5"/>
      <c r="AI927" s="5"/>
      <c r="AJ927" s="5"/>
      <c r="AK927" s="5"/>
      <c r="AL927" s="5"/>
      <c r="AM927" s="5"/>
    </row>
    <row r="928" spans="1:39" ht="15.75" customHeight="1" x14ac:dyDescent="0.2">
      <c r="A928" s="5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5"/>
      <c r="AF928" s="5"/>
      <c r="AG928" s="5"/>
      <c r="AH928" s="5"/>
      <c r="AI928" s="5"/>
      <c r="AJ928" s="5"/>
      <c r="AK928" s="5"/>
      <c r="AL928" s="5"/>
      <c r="AM928" s="5"/>
    </row>
    <row r="929" spans="1:39" ht="15.75" customHeight="1" x14ac:dyDescent="0.2">
      <c r="A929" s="5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5"/>
      <c r="AF929" s="5"/>
      <c r="AG929" s="5"/>
      <c r="AH929" s="5"/>
      <c r="AI929" s="5"/>
      <c r="AJ929" s="5"/>
      <c r="AK929" s="5"/>
      <c r="AL929" s="5"/>
      <c r="AM929" s="5"/>
    </row>
    <row r="930" spans="1:39" ht="15.75" customHeight="1" x14ac:dyDescent="0.2">
      <c r="A930" s="5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5"/>
      <c r="AF930" s="5"/>
      <c r="AG930" s="5"/>
      <c r="AH930" s="5"/>
      <c r="AI930" s="5"/>
      <c r="AJ930" s="5"/>
      <c r="AK930" s="5"/>
      <c r="AL930" s="5"/>
      <c r="AM930" s="5"/>
    </row>
    <row r="931" spans="1:39" ht="15.75" customHeight="1" x14ac:dyDescent="0.2">
      <c r="A931" s="5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5"/>
      <c r="AF931" s="5"/>
      <c r="AG931" s="5"/>
      <c r="AH931" s="5"/>
      <c r="AI931" s="5"/>
      <c r="AJ931" s="5"/>
      <c r="AK931" s="5"/>
      <c r="AL931" s="5"/>
      <c r="AM931" s="5"/>
    </row>
    <row r="932" spans="1:39" ht="15.75" customHeight="1" x14ac:dyDescent="0.2">
      <c r="A932" s="5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5"/>
      <c r="AF932" s="5"/>
      <c r="AG932" s="5"/>
      <c r="AH932" s="5"/>
      <c r="AI932" s="5"/>
      <c r="AJ932" s="5"/>
      <c r="AK932" s="5"/>
      <c r="AL932" s="5"/>
      <c r="AM932" s="5"/>
    </row>
    <row r="933" spans="1:39" ht="15.75" customHeight="1" x14ac:dyDescent="0.2">
      <c r="A933" s="5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5"/>
      <c r="AF933" s="5"/>
      <c r="AG933" s="5"/>
      <c r="AH933" s="5"/>
      <c r="AI933" s="5"/>
      <c r="AJ933" s="5"/>
      <c r="AK933" s="5"/>
      <c r="AL933" s="5"/>
      <c r="AM933" s="5"/>
    </row>
    <row r="934" spans="1:39" ht="15.75" customHeight="1" x14ac:dyDescent="0.2">
      <c r="A934" s="5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5"/>
      <c r="AF934" s="5"/>
      <c r="AG934" s="5"/>
      <c r="AH934" s="5"/>
      <c r="AI934" s="5"/>
      <c r="AJ934" s="5"/>
      <c r="AK934" s="5"/>
      <c r="AL934" s="5"/>
      <c r="AM934" s="5"/>
    </row>
    <row r="935" spans="1:39" ht="15.75" customHeight="1" x14ac:dyDescent="0.2">
      <c r="A935" s="5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5"/>
      <c r="AF935" s="5"/>
      <c r="AG935" s="5"/>
      <c r="AH935" s="5"/>
      <c r="AI935" s="5"/>
      <c r="AJ935" s="5"/>
      <c r="AK935" s="5"/>
      <c r="AL935" s="5"/>
      <c r="AM935" s="5"/>
    </row>
    <row r="936" spans="1:39" ht="15.75" customHeight="1" x14ac:dyDescent="0.2">
      <c r="A936" s="5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5"/>
      <c r="AF936" s="5"/>
      <c r="AG936" s="5"/>
      <c r="AH936" s="5"/>
      <c r="AI936" s="5"/>
      <c r="AJ936" s="5"/>
      <c r="AK936" s="5"/>
      <c r="AL936" s="5"/>
      <c r="AM936" s="5"/>
    </row>
    <row r="937" spans="1:39" ht="15.75" customHeight="1" x14ac:dyDescent="0.2">
      <c r="A937" s="5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5"/>
      <c r="AF937" s="5"/>
      <c r="AG937" s="5"/>
      <c r="AH937" s="5"/>
      <c r="AI937" s="5"/>
      <c r="AJ937" s="5"/>
      <c r="AK937" s="5"/>
      <c r="AL937" s="5"/>
      <c r="AM937" s="5"/>
    </row>
    <row r="938" spans="1:39" ht="15.75" customHeight="1" x14ac:dyDescent="0.2">
      <c r="A938" s="5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5"/>
      <c r="AF938" s="5"/>
      <c r="AG938" s="5"/>
      <c r="AH938" s="5"/>
      <c r="AI938" s="5"/>
      <c r="AJ938" s="5"/>
      <c r="AK938" s="5"/>
      <c r="AL938" s="5"/>
      <c r="AM938" s="5"/>
    </row>
    <row r="939" spans="1:39" ht="15.75" customHeight="1" x14ac:dyDescent="0.2">
      <c r="A939" s="5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5"/>
      <c r="AF939" s="5"/>
      <c r="AG939" s="5"/>
      <c r="AH939" s="5"/>
      <c r="AI939" s="5"/>
      <c r="AJ939" s="5"/>
      <c r="AK939" s="5"/>
      <c r="AL939" s="5"/>
      <c r="AM939" s="5"/>
    </row>
    <row r="940" spans="1:39" ht="15.75" customHeight="1" x14ac:dyDescent="0.2">
      <c r="A940" s="5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5"/>
      <c r="AF940" s="5"/>
      <c r="AG940" s="5"/>
      <c r="AH940" s="5"/>
      <c r="AI940" s="5"/>
      <c r="AJ940" s="5"/>
      <c r="AK940" s="5"/>
      <c r="AL940" s="5"/>
      <c r="AM940" s="5"/>
    </row>
    <row r="941" spans="1:39" ht="15.75" customHeight="1" x14ac:dyDescent="0.2">
      <c r="A941" s="5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5"/>
      <c r="AF941" s="5"/>
      <c r="AG941" s="5"/>
      <c r="AH941" s="5"/>
      <c r="AI941" s="5"/>
      <c r="AJ941" s="5"/>
      <c r="AK941" s="5"/>
      <c r="AL941" s="5"/>
      <c r="AM941" s="5"/>
    </row>
    <row r="942" spans="1:39" ht="15.75" customHeight="1" x14ac:dyDescent="0.2">
      <c r="A942" s="5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5"/>
      <c r="AF942" s="5"/>
      <c r="AG942" s="5"/>
      <c r="AH942" s="5"/>
      <c r="AI942" s="5"/>
      <c r="AJ942" s="5"/>
      <c r="AK942" s="5"/>
      <c r="AL942" s="5"/>
      <c r="AM942" s="5"/>
    </row>
    <row r="943" spans="1:39" ht="15.75" customHeight="1" x14ac:dyDescent="0.2">
      <c r="A943" s="5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5"/>
      <c r="AF943" s="5"/>
      <c r="AG943" s="5"/>
      <c r="AH943" s="5"/>
      <c r="AI943" s="5"/>
      <c r="AJ943" s="5"/>
      <c r="AK943" s="5"/>
      <c r="AL943" s="5"/>
      <c r="AM943" s="5"/>
    </row>
    <row r="944" spans="1:39" ht="15.75" customHeight="1" x14ac:dyDescent="0.2">
      <c r="A944" s="5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5"/>
      <c r="AF944" s="5"/>
      <c r="AG944" s="5"/>
      <c r="AH944" s="5"/>
      <c r="AI944" s="5"/>
      <c r="AJ944" s="5"/>
      <c r="AK944" s="5"/>
      <c r="AL944" s="5"/>
      <c r="AM944" s="5"/>
    </row>
    <row r="945" spans="1:39" ht="15.75" customHeight="1" x14ac:dyDescent="0.2">
      <c r="A945" s="5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5"/>
      <c r="AF945" s="5"/>
      <c r="AG945" s="5"/>
      <c r="AH945" s="5"/>
      <c r="AI945" s="5"/>
      <c r="AJ945" s="5"/>
      <c r="AK945" s="5"/>
      <c r="AL945" s="5"/>
      <c r="AM945" s="5"/>
    </row>
    <row r="946" spans="1:39" ht="15.75" customHeight="1" x14ac:dyDescent="0.2">
      <c r="A946" s="5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5"/>
      <c r="AF946" s="5"/>
      <c r="AG946" s="5"/>
      <c r="AH946" s="5"/>
      <c r="AI946" s="5"/>
      <c r="AJ946" s="5"/>
      <c r="AK946" s="5"/>
      <c r="AL946" s="5"/>
      <c r="AM946" s="5"/>
    </row>
    <row r="947" spans="1:39" ht="15.75" customHeight="1" x14ac:dyDescent="0.2">
      <c r="A947" s="5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5"/>
      <c r="AF947" s="5"/>
      <c r="AG947" s="5"/>
      <c r="AH947" s="5"/>
      <c r="AI947" s="5"/>
      <c r="AJ947" s="5"/>
      <c r="AK947" s="5"/>
      <c r="AL947" s="5"/>
      <c r="AM947" s="5"/>
    </row>
    <row r="948" spans="1:39" ht="15.75" customHeight="1" x14ac:dyDescent="0.2">
      <c r="A948" s="5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5"/>
      <c r="AF948" s="5"/>
      <c r="AG948" s="5"/>
      <c r="AH948" s="5"/>
      <c r="AI948" s="5"/>
      <c r="AJ948" s="5"/>
      <c r="AK948" s="5"/>
      <c r="AL948" s="5"/>
      <c r="AM948" s="5"/>
    </row>
    <row r="949" spans="1:39" ht="15.75" customHeight="1" x14ac:dyDescent="0.2">
      <c r="A949" s="5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5"/>
      <c r="AF949" s="5"/>
      <c r="AG949" s="5"/>
      <c r="AH949" s="5"/>
      <c r="AI949" s="5"/>
      <c r="AJ949" s="5"/>
      <c r="AK949" s="5"/>
      <c r="AL949" s="5"/>
      <c r="AM949" s="5"/>
    </row>
    <row r="950" spans="1:39" ht="15.75" customHeight="1" x14ac:dyDescent="0.2">
      <c r="A950" s="5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5"/>
      <c r="AF950" s="5"/>
      <c r="AG950" s="5"/>
      <c r="AH950" s="5"/>
      <c r="AI950" s="5"/>
      <c r="AJ950" s="5"/>
      <c r="AK950" s="5"/>
      <c r="AL950" s="5"/>
      <c r="AM950" s="5"/>
    </row>
    <row r="951" spans="1:39" ht="15.75" customHeight="1" x14ac:dyDescent="0.2">
      <c r="A951" s="5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5"/>
      <c r="AF951" s="5"/>
      <c r="AG951" s="5"/>
      <c r="AH951" s="5"/>
      <c r="AI951" s="5"/>
      <c r="AJ951" s="5"/>
      <c r="AK951" s="5"/>
      <c r="AL951" s="5"/>
      <c r="AM951" s="5"/>
    </row>
    <row r="952" spans="1:39" ht="15.75" customHeight="1" x14ac:dyDescent="0.2">
      <c r="A952" s="5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5"/>
      <c r="AF952" s="5"/>
      <c r="AG952" s="5"/>
      <c r="AH952" s="5"/>
      <c r="AI952" s="5"/>
      <c r="AJ952" s="5"/>
      <c r="AK952" s="5"/>
      <c r="AL952" s="5"/>
      <c r="AM952" s="5"/>
    </row>
    <row r="953" spans="1:39" ht="15.75" customHeight="1" x14ac:dyDescent="0.2">
      <c r="A953" s="5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5"/>
      <c r="AF953" s="5"/>
      <c r="AG953" s="5"/>
      <c r="AH953" s="5"/>
      <c r="AI953" s="5"/>
      <c r="AJ953" s="5"/>
      <c r="AK953" s="5"/>
      <c r="AL953" s="5"/>
      <c r="AM953" s="5"/>
    </row>
    <row r="954" spans="1:39" ht="15.75" customHeight="1" x14ac:dyDescent="0.2">
      <c r="A954" s="5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5"/>
      <c r="AF954" s="5"/>
      <c r="AG954" s="5"/>
      <c r="AH954" s="5"/>
      <c r="AI954" s="5"/>
      <c r="AJ954" s="5"/>
      <c r="AK954" s="5"/>
      <c r="AL954" s="5"/>
      <c r="AM954" s="5"/>
    </row>
    <row r="955" spans="1:39" ht="15.75" customHeight="1" x14ac:dyDescent="0.2">
      <c r="A955" s="5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5"/>
      <c r="AF955" s="5"/>
      <c r="AG955" s="5"/>
      <c r="AH955" s="5"/>
      <c r="AI955" s="5"/>
      <c r="AJ955" s="5"/>
      <c r="AK955" s="5"/>
      <c r="AL955" s="5"/>
      <c r="AM955" s="5"/>
    </row>
    <row r="956" spans="1:39" ht="15.75" customHeight="1" x14ac:dyDescent="0.2">
      <c r="A956" s="5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5"/>
      <c r="AF956" s="5"/>
      <c r="AG956" s="5"/>
      <c r="AH956" s="5"/>
      <c r="AI956" s="5"/>
      <c r="AJ956" s="5"/>
      <c r="AK956" s="5"/>
      <c r="AL956" s="5"/>
      <c r="AM956" s="5"/>
    </row>
    <row r="957" spans="1:39" ht="15.75" customHeight="1" x14ac:dyDescent="0.2">
      <c r="A957" s="5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5"/>
      <c r="AF957" s="5"/>
      <c r="AG957" s="5"/>
      <c r="AH957" s="5"/>
      <c r="AI957" s="5"/>
      <c r="AJ957" s="5"/>
      <c r="AK957" s="5"/>
      <c r="AL957" s="5"/>
      <c r="AM957" s="5"/>
    </row>
    <row r="958" spans="1:39" ht="15.75" customHeight="1" x14ac:dyDescent="0.2">
      <c r="A958" s="5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5"/>
      <c r="AF958" s="5"/>
      <c r="AG958" s="5"/>
      <c r="AH958" s="5"/>
      <c r="AI958" s="5"/>
      <c r="AJ958" s="5"/>
      <c r="AK958" s="5"/>
      <c r="AL958" s="5"/>
      <c r="AM958" s="5"/>
    </row>
    <row r="959" spans="1:39" ht="15.75" customHeight="1" x14ac:dyDescent="0.2">
      <c r="A959" s="5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5"/>
      <c r="AF959" s="5"/>
      <c r="AG959" s="5"/>
      <c r="AH959" s="5"/>
      <c r="AI959" s="5"/>
      <c r="AJ959" s="5"/>
      <c r="AK959" s="5"/>
      <c r="AL959" s="5"/>
      <c r="AM959" s="5"/>
    </row>
    <row r="960" spans="1:39" ht="15.75" customHeight="1" x14ac:dyDescent="0.2">
      <c r="A960" s="5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5"/>
      <c r="AF960" s="5"/>
      <c r="AG960" s="5"/>
      <c r="AH960" s="5"/>
      <c r="AI960" s="5"/>
      <c r="AJ960" s="5"/>
      <c r="AK960" s="5"/>
      <c r="AL960" s="5"/>
      <c r="AM960" s="5"/>
    </row>
    <row r="961" spans="1:39" ht="15.75" customHeight="1" x14ac:dyDescent="0.2">
      <c r="A961" s="5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5"/>
      <c r="AF961" s="5"/>
      <c r="AG961" s="5"/>
      <c r="AH961" s="5"/>
      <c r="AI961" s="5"/>
      <c r="AJ961" s="5"/>
      <c r="AK961" s="5"/>
      <c r="AL961" s="5"/>
      <c r="AM961" s="5"/>
    </row>
    <row r="962" spans="1:39" ht="15.75" customHeight="1" x14ac:dyDescent="0.2">
      <c r="A962" s="5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5"/>
      <c r="AF962" s="5"/>
      <c r="AG962" s="5"/>
      <c r="AH962" s="5"/>
      <c r="AI962" s="5"/>
      <c r="AJ962" s="5"/>
      <c r="AK962" s="5"/>
      <c r="AL962" s="5"/>
      <c r="AM962" s="5"/>
    </row>
    <row r="963" spans="1:39" ht="15.75" customHeight="1" x14ac:dyDescent="0.2">
      <c r="A963" s="5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5"/>
      <c r="AF963" s="5"/>
      <c r="AG963" s="5"/>
      <c r="AH963" s="5"/>
      <c r="AI963" s="5"/>
      <c r="AJ963" s="5"/>
      <c r="AK963" s="5"/>
      <c r="AL963" s="5"/>
      <c r="AM963" s="5"/>
    </row>
    <row r="964" spans="1:39" ht="15.75" customHeight="1" x14ac:dyDescent="0.2">
      <c r="A964" s="5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5"/>
      <c r="AF964" s="5"/>
      <c r="AG964" s="5"/>
      <c r="AH964" s="5"/>
      <c r="AI964" s="5"/>
      <c r="AJ964" s="5"/>
      <c r="AK964" s="5"/>
      <c r="AL964" s="5"/>
      <c r="AM964" s="5"/>
    </row>
  </sheetData>
  <mergeCells count="18">
    <mergeCell ref="AD71:AM71"/>
    <mergeCell ref="AD101:AM101"/>
    <mergeCell ref="AD41:AM41"/>
    <mergeCell ref="AD67:AE67"/>
    <mergeCell ref="B101:M101"/>
    <mergeCell ref="P101:AA101"/>
    <mergeCell ref="B41:M41"/>
    <mergeCell ref="P41:AA41"/>
    <mergeCell ref="B67:C67"/>
    <mergeCell ref="P67:Q67"/>
    <mergeCell ref="B71:M71"/>
    <mergeCell ref="P71:AA71"/>
    <mergeCell ref="P7:Q7"/>
    <mergeCell ref="B11:M11"/>
    <mergeCell ref="P11:AA11"/>
    <mergeCell ref="B7:C7"/>
    <mergeCell ref="AD7:AE7"/>
    <mergeCell ref="AD11:AM11"/>
  </mergeCells>
  <conditionalFormatting sqref="B21 B24">
    <cfRule type="containsBlanks" dxfId="309" priority="33">
      <formula>LEN(TRIM(B21))=0</formula>
    </cfRule>
  </conditionalFormatting>
  <conditionalFormatting sqref="B81 B84">
    <cfRule type="containsBlanks" dxfId="308" priority="29">
      <formula>LEN(TRIM(B81))=0</formula>
    </cfRule>
  </conditionalFormatting>
  <conditionalFormatting sqref="P81">
    <cfRule type="containsBlanks" dxfId="307" priority="28">
      <formula>LEN(TRIM(P81))=0</formula>
    </cfRule>
  </conditionalFormatting>
  <conditionalFormatting sqref="B38">
    <cfRule type="containsBlanks" dxfId="306" priority="27">
      <formula>LEN(TRIM(B38))=0</formula>
    </cfRule>
  </conditionalFormatting>
  <conditionalFormatting sqref="P38">
    <cfRule type="containsBlanks" dxfId="305" priority="25">
      <formula>LEN(TRIM(P38))=0</formula>
    </cfRule>
  </conditionalFormatting>
  <conditionalFormatting sqref="B98">
    <cfRule type="containsBlanks" dxfId="304" priority="24">
      <formula>LEN(TRIM(B98))=0</formula>
    </cfRule>
  </conditionalFormatting>
  <conditionalFormatting sqref="P98">
    <cfRule type="containsBlanks" dxfId="303" priority="22">
      <formula>LEN(TRIM(P98))=0</formula>
    </cfRule>
  </conditionalFormatting>
  <conditionalFormatting sqref="B23">
    <cfRule type="containsBlanks" dxfId="302" priority="21">
      <formula>LEN(TRIM(B23))=0</formula>
    </cfRule>
  </conditionalFormatting>
  <conditionalFormatting sqref="P84">
    <cfRule type="containsBlanks" dxfId="301" priority="17">
      <formula>LEN(TRIM(P84))=0</formula>
    </cfRule>
  </conditionalFormatting>
  <conditionalFormatting sqref="P21 P24">
    <cfRule type="containsBlanks" dxfId="300" priority="16">
      <formula>LEN(TRIM(P21))=0</formula>
    </cfRule>
  </conditionalFormatting>
  <conditionalFormatting sqref="P23">
    <cfRule type="containsBlanks" dxfId="299" priority="15">
      <formula>LEN(TRIM(P23))=0</formula>
    </cfRule>
  </conditionalFormatting>
  <conditionalFormatting sqref="B22">
    <cfRule type="containsBlanks" dxfId="298" priority="14">
      <formula>LEN(TRIM(B22))=0</formula>
    </cfRule>
  </conditionalFormatting>
  <conditionalFormatting sqref="P22">
    <cfRule type="containsBlanks" dxfId="297" priority="12">
      <formula>LEN(TRIM(P22))=0</formula>
    </cfRule>
  </conditionalFormatting>
  <conditionalFormatting sqref="B82">
    <cfRule type="containsBlanks" dxfId="296" priority="11">
      <formula>LEN(TRIM(B82))=0</formula>
    </cfRule>
  </conditionalFormatting>
  <conditionalFormatting sqref="P82">
    <cfRule type="containsBlanks" dxfId="295" priority="10">
      <formula>LEN(TRIM(P82))=0</formula>
    </cfRule>
  </conditionalFormatting>
  <conditionalFormatting sqref="B83">
    <cfRule type="containsBlanks" dxfId="294" priority="9">
      <formula>LEN(TRIM(B83))=0</formula>
    </cfRule>
  </conditionalFormatting>
  <conditionalFormatting sqref="P83">
    <cfRule type="containsBlanks" dxfId="293" priority="8">
      <formula>LEN(TRIM(P83))=0</formula>
    </cfRule>
  </conditionalFormatting>
  <conditionalFormatting sqref="AD21 AD24">
    <cfRule type="containsBlanks" dxfId="292" priority="7">
      <formula>LEN(TRIM(AD21))=0</formula>
    </cfRule>
  </conditionalFormatting>
  <conditionalFormatting sqref="AD23">
    <cfRule type="containsBlanks" dxfId="291" priority="6">
      <formula>LEN(TRIM(AD23))=0</formula>
    </cfRule>
  </conditionalFormatting>
  <conditionalFormatting sqref="AD22">
    <cfRule type="containsBlanks" dxfId="290" priority="5">
      <formula>LEN(TRIM(AD22))=0</formula>
    </cfRule>
  </conditionalFormatting>
  <conditionalFormatting sqref="AD81 AD84">
    <cfRule type="containsBlanks" dxfId="289" priority="4">
      <formula>LEN(TRIM(AD81))=0</formula>
    </cfRule>
  </conditionalFormatting>
  <conditionalFormatting sqref="AD83">
    <cfRule type="containsBlanks" dxfId="288" priority="3">
      <formula>LEN(TRIM(AD83))=0</formula>
    </cfRule>
  </conditionalFormatting>
  <conditionalFormatting sqref="AD82">
    <cfRule type="containsBlanks" dxfId="287" priority="2">
      <formula>LEN(TRIM(AD82))=0</formula>
    </cfRule>
  </conditionalFormatting>
  <conditionalFormatting sqref="AD38">
    <cfRule type="containsBlanks" dxfId="286" priority="1">
      <formula>LEN(TRIM(AD38))=0</formula>
    </cfRule>
  </conditionalFormatting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4503D65-E65A-4F24-8215-92A1DEABE6EE}">
          <x14:formula1>
            <xm:f>'Input keuzevariabelen'!$B$11:$B$13</xm:f>
          </x14:formula1>
          <xm:sqref>Q69</xm:sqref>
        </x14:dataValidation>
        <x14:dataValidation type="list" allowBlank="1" showErrorMessage="1" xr:uid="{9D9C55AC-B4A9-0042-97E0-D431FAEBB0E8}">
          <x14:formula1>
            <xm:f>'Input keuzevariabelen'!$B$11:$B$16</xm:f>
          </x14:formula1>
          <xm:sqref>Q9</xm:sqref>
        </x14:dataValidation>
        <x14:dataValidation type="list" allowBlank="1" showErrorMessage="1" xr:uid="{FA490659-E750-4E40-BDF2-8AE96929289C}">
          <x14:formula1>
            <xm:f>'Input keuzevariabelen'!$B$17</xm:f>
          </x14:formula1>
          <xm:sqref>AE69 AE9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DC59-4C53-4BAA-9B17-E6CA00B66D2A}">
  <dimension ref="A1:Q303"/>
  <sheetViews>
    <sheetView topLeftCell="A79" zoomScale="70" zoomScaleNormal="70" workbookViewId="0">
      <selection activeCell="H108" sqref="H108"/>
    </sheetView>
  </sheetViews>
  <sheetFormatPr baseColWidth="10" defaultColWidth="8.5" defaultRowHeight="16" x14ac:dyDescent="0.2"/>
  <cols>
    <col min="1" max="1" width="8.5" style="13"/>
    <col min="2" max="2" width="18.1640625" style="13" customWidth="1"/>
    <col min="3" max="3" width="23.83203125" style="13" customWidth="1"/>
    <col min="4" max="4" width="6.5" style="13" bestFit="1" customWidth="1"/>
    <col min="5" max="5" width="17.33203125" style="13" bestFit="1" customWidth="1"/>
    <col min="6" max="6" width="20" style="13" bestFit="1" customWidth="1"/>
    <col min="7" max="7" width="44.5" style="13" bestFit="1" customWidth="1"/>
    <col min="8" max="8" width="16.83203125" style="13" bestFit="1" customWidth="1"/>
    <col min="9" max="9" width="13.33203125" style="13" customWidth="1"/>
    <col min="10" max="10" width="23.5" style="13" customWidth="1"/>
    <col min="11" max="11" width="18.5" style="13" customWidth="1"/>
    <col min="12" max="12" width="15.33203125" style="13" customWidth="1"/>
    <col min="13" max="13" width="18" style="13" customWidth="1"/>
    <col min="14" max="14" width="70.83203125" style="13" customWidth="1"/>
    <col min="15" max="15" width="35.33203125" style="13" customWidth="1"/>
    <col min="16" max="16" width="36.5" style="13" customWidth="1"/>
    <col min="17" max="16384" width="8.5" style="13"/>
  </cols>
  <sheetData>
    <row r="1" spans="2:16" ht="40" customHeight="1" x14ac:dyDescent="0.2"/>
    <row r="2" spans="2:16" ht="40" customHeight="1" x14ac:dyDescent="0.2">
      <c r="E2" s="50" t="s">
        <v>67</v>
      </c>
    </row>
    <row r="5" spans="2:16" ht="17" thickBot="1" x14ac:dyDescent="0.25"/>
    <row r="6" spans="2:16" ht="33.75" customHeight="1" thickTop="1" thickBot="1" x14ac:dyDescent="0.25">
      <c r="C6" s="372" t="s">
        <v>52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4"/>
    </row>
    <row r="7" spans="2:16" ht="44.25" customHeight="1" thickTop="1" thickBot="1" x14ac:dyDescent="0.25">
      <c r="B7" s="140" t="s">
        <v>120</v>
      </c>
      <c r="C7" s="140" t="s">
        <v>53</v>
      </c>
      <c r="D7" s="141" t="s">
        <v>54</v>
      </c>
      <c r="E7" s="142" t="s">
        <v>55</v>
      </c>
      <c r="F7" s="141" t="s">
        <v>79</v>
      </c>
      <c r="G7" s="141" t="s">
        <v>56</v>
      </c>
      <c r="H7" s="143" t="s">
        <v>39</v>
      </c>
      <c r="I7" s="141" t="s">
        <v>57</v>
      </c>
      <c r="J7" s="141" t="s">
        <v>58</v>
      </c>
      <c r="K7" s="141" t="s">
        <v>59</v>
      </c>
      <c r="L7" s="141" t="s">
        <v>60</v>
      </c>
      <c r="M7" s="141" t="s">
        <v>61</v>
      </c>
      <c r="N7" s="141" t="s">
        <v>78</v>
      </c>
      <c r="O7" s="141" t="s">
        <v>63</v>
      </c>
      <c r="P7" s="144" t="s">
        <v>62</v>
      </c>
    </row>
    <row r="8" spans="2:16" ht="18" thickTop="1" thickBot="1" x14ac:dyDescent="0.25">
      <c r="B8" s="183" t="s">
        <v>127</v>
      </c>
      <c r="C8" s="189"/>
      <c r="D8" s="186">
        <v>2019</v>
      </c>
      <c r="E8" s="187" t="s">
        <v>16</v>
      </c>
      <c r="F8" s="147" t="str">
        <f>VLOOKUP(G8,'Input keuzevariabelen'!$E$11:$I$80,2,FALSE)</f>
        <v>KPI</v>
      </c>
      <c r="G8" s="156" t="s">
        <v>94</v>
      </c>
      <c r="H8" s="209">
        <v>662130.90700000001</v>
      </c>
      <c r="I8" s="148">
        <f>VLOOKUP(G8,'Input keuzevariabelen'!$E$11:$I$80,3,FALSE)</f>
        <v>0</v>
      </c>
      <c r="J8" s="211">
        <f>SUMIFS('Input keuzevariabelen'!$H$11:$H$80,'Input keuzevariabelen'!$E$11:$E$80,Data!G8,'Input keuzevariabelen'!$J$11:$J$80,Data!D8)</f>
        <v>0</v>
      </c>
      <c r="K8" s="148">
        <f>VLOOKUP(G8,'Input keuzevariabelen'!$E$11:$I$80,5,FALSE)</f>
        <v>0</v>
      </c>
      <c r="L8" s="208">
        <f t="shared" ref="L8:L81" si="0">H8*J8/1000</f>
        <v>0</v>
      </c>
      <c r="M8" s="208">
        <f t="shared" ref="M8:M81" si="1">H8*J8/1000000</f>
        <v>0</v>
      </c>
      <c r="N8" s="148" t="s">
        <v>175</v>
      </c>
      <c r="O8" s="156"/>
      <c r="P8" s="157" t="s">
        <v>128</v>
      </c>
    </row>
    <row r="9" spans="2:16" ht="18" thickTop="1" thickBot="1" x14ac:dyDescent="0.25">
      <c r="B9" s="183" t="s">
        <v>127</v>
      </c>
      <c r="C9" s="189"/>
      <c r="D9" s="186">
        <v>2019</v>
      </c>
      <c r="E9" s="187" t="s">
        <v>16</v>
      </c>
      <c r="F9" s="147" t="str">
        <f>VLOOKUP(G9,'Input keuzevariabelen'!$E$11:$I$80,2,FALSE)</f>
        <v>KPI</v>
      </c>
      <c r="G9" s="156" t="s">
        <v>95</v>
      </c>
      <c r="H9" s="209">
        <v>1664.4559999999999</v>
      </c>
      <c r="I9" s="148">
        <f>VLOOKUP(G9,'Input keuzevariabelen'!$E$11:$I$80,3,FALSE)</f>
        <v>0</v>
      </c>
      <c r="J9" s="211">
        <f>SUMIFS('Input keuzevariabelen'!$H$11:$H$80,'Input keuzevariabelen'!$E$11:$E$80,Data!G9,'Input keuzevariabelen'!$J$11:$J$80,Data!D9)</f>
        <v>0</v>
      </c>
      <c r="K9" s="148">
        <f>VLOOKUP(G9,'Input keuzevariabelen'!$E$11:$I$80,5,FALSE)</f>
        <v>0</v>
      </c>
      <c r="L9" s="208">
        <f t="shared" ref="L9:L12" si="2">H9*J9/1000</f>
        <v>0</v>
      </c>
      <c r="M9" s="208">
        <f t="shared" ref="M9:M12" si="3">H9*J9/1000000</f>
        <v>0</v>
      </c>
      <c r="N9" s="148" t="s">
        <v>175</v>
      </c>
      <c r="O9" s="156"/>
      <c r="P9" s="157" t="s">
        <v>129</v>
      </c>
    </row>
    <row r="10" spans="2:16" ht="18" thickTop="1" thickBot="1" x14ac:dyDescent="0.25">
      <c r="B10" s="183" t="s">
        <v>127</v>
      </c>
      <c r="C10" s="189"/>
      <c r="D10" s="186">
        <v>2019</v>
      </c>
      <c r="E10" s="187" t="s">
        <v>16</v>
      </c>
      <c r="F10" s="147" t="str">
        <f>VLOOKUP(G10,'Input keuzevariabelen'!$E$11:$I$80,2,FALSE)</f>
        <v>KPI</v>
      </c>
      <c r="G10" s="156" t="s">
        <v>96</v>
      </c>
      <c r="H10" s="209">
        <v>17.827000000000002</v>
      </c>
      <c r="I10" s="148">
        <f>VLOOKUP(G10,'Input keuzevariabelen'!$E$11:$I$80,3,FALSE)</f>
        <v>0</v>
      </c>
      <c r="J10" s="211">
        <f>SUMIFS('Input keuzevariabelen'!$H$11:$H$80,'Input keuzevariabelen'!$E$11:$E$80,Data!G10,'Input keuzevariabelen'!$J$11:$J$80,Data!D10)</f>
        <v>0</v>
      </c>
      <c r="K10" s="148">
        <f>VLOOKUP(G10,'Input keuzevariabelen'!$E$11:$I$80,5,FALSE)</f>
        <v>0</v>
      </c>
      <c r="L10" s="208">
        <f t="shared" ref="L10" si="4">H10*J10/1000</f>
        <v>0</v>
      </c>
      <c r="M10" s="208">
        <f t="shared" ref="M10" si="5">H10*J10/1000000</f>
        <v>0</v>
      </c>
      <c r="N10" s="148" t="s">
        <v>175</v>
      </c>
      <c r="O10" s="156"/>
      <c r="P10" s="157" t="s">
        <v>130</v>
      </c>
    </row>
    <row r="11" spans="2:16" ht="18" thickTop="1" thickBot="1" x14ac:dyDescent="0.25">
      <c r="B11" s="183" t="s">
        <v>127</v>
      </c>
      <c r="C11" s="189"/>
      <c r="D11" s="186">
        <v>2019</v>
      </c>
      <c r="E11" s="187" t="s">
        <v>16</v>
      </c>
      <c r="F11" s="147" t="str">
        <f>VLOOKUP(G11,'Input keuzevariabelen'!$E$11:$I$80,2,FALSE)</f>
        <v>KPI</v>
      </c>
      <c r="G11" s="156" t="s">
        <v>226</v>
      </c>
      <c r="H11" s="209">
        <f>146610367/1000</f>
        <v>146610.367</v>
      </c>
      <c r="I11" s="148">
        <f>VLOOKUP(G11,'Input keuzevariabelen'!$E$11:$I$80,3,FALSE)</f>
        <v>0</v>
      </c>
      <c r="J11" s="211">
        <f>SUMIFS('Input keuzevariabelen'!$H$11:$H$80,'Input keuzevariabelen'!$E$11:$E$80,Data!G11,'Input keuzevariabelen'!$J$11:$J$80,Data!D11)</f>
        <v>0</v>
      </c>
      <c r="K11" s="148">
        <f>VLOOKUP(G11,'Input keuzevariabelen'!$E$11:$I$80,5,FALSE)</f>
        <v>0</v>
      </c>
      <c r="L11" s="208">
        <f t="shared" si="2"/>
        <v>0</v>
      </c>
      <c r="M11" s="208">
        <f t="shared" si="3"/>
        <v>0</v>
      </c>
      <c r="N11" s="148" t="s">
        <v>227</v>
      </c>
      <c r="O11" s="156"/>
      <c r="P11" s="157"/>
    </row>
    <row r="12" spans="2:16" ht="18" thickTop="1" thickBot="1" x14ac:dyDescent="0.25">
      <c r="B12" s="183" t="s">
        <v>127</v>
      </c>
      <c r="C12" s="189" t="s">
        <v>117</v>
      </c>
      <c r="D12" s="186">
        <v>2019</v>
      </c>
      <c r="E12" s="187" t="s">
        <v>16</v>
      </c>
      <c r="F12" s="147">
        <f>VLOOKUP(G12,'Input keuzevariabelen'!$E$11:$I$80,2,FALSE)</f>
        <v>2</v>
      </c>
      <c r="G12" s="156" t="s">
        <v>28</v>
      </c>
      <c r="H12" s="209">
        <v>5406947</v>
      </c>
      <c r="I12" s="148" t="str">
        <f>VLOOKUP(G12,'Input keuzevariabelen'!$E$11:$I$80,3,FALSE)</f>
        <v>kWh</v>
      </c>
      <c r="J12" s="211">
        <f>SUMIFS('Input keuzevariabelen'!$H$11:$H$80,'Input keuzevariabelen'!$E$11:$E$80,Data!G12,'Input keuzevariabelen'!$J$11:$J$80,Data!D12)</f>
        <v>0</v>
      </c>
      <c r="K12" s="148" t="str">
        <f>VLOOKUP(G12,'Input keuzevariabelen'!$E$11:$I$80,5,FALSE)</f>
        <v>gram CO2/kWh</v>
      </c>
      <c r="L12" s="208">
        <f t="shared" si="2"/>
        <v>0</v>
      </c>
      <c r="M12" s="208">
        <f t="shared" si="3"/>
        <v>0</v>
      </c>
      <c r="N12" s="148" t="s">
        <v>175</v>
      </c>
      <c r="O12" s="156" t="s">
        <v>117</v>
      </c>
      <c r="P12" s="157" t="s">
        <v>141</v>
      </c>
    </row>
    <row r="13" spans="2:16" ht="18" thickTop="1" thickBot="1" x14ac:dyDescent="0.25">
      <c r="B13" s="183" t="s">
        <v>127</v>
      </c>
      <c r="C13" s="189" t="s">
        <v>126</v>
      </c>
      <c r="D13" s="186">
        <v>2019</v>
      </c>
      <c r="E13" s="187" t="s">
        <v>16</v>
      </c>
      <c r="F13" s="147">
        <f>VLOOKUP(G13,'Input keuzevariabelen'!$E$11:$I$80,2,FALSE)</f>
        <v>2</v>
      </c>
      <c r="G13" s="156" t="s">
        <v>28</v>
      </c>
      <c r="H13" s="209">
        <v>538560</v>
      </c>
      <c r="I13" s="148" t="str">
        <f>VLOOKUP(G13,'Input keuzevariabelen'!$E$11:$I$80,3,FALSE)</f>
        <v>kWh</v>
      </c>
      <c r="J13" s="211">
        <f>SUMIFS('Input keuzevariabelen'!$H$11:$H$80,'Input keuzevariabelen'!$E$11:$E$80,Data!G13,'Input keuzevariabelen'!$J$11:$J$80,Data!D13)</f>
        <v>0</v>
      </c>
      <c r="K13" s="148" t="str">
        <f>VLOOKUP(G13,'Input keuzevariabelen'!$E$11:$I$80,5,FALSE)</f>
        <v>gram CO2/kWh</v>
      </c>
      <c r="L13" s="208">
        <f t="shared" si="0"/>
        <v>0</v>
      </c>
      <c r="M13" s="208">
        <f t="shared" si="1"/>
        <v>0</v>
      </c>
      <c r="N13" s="148" t="s">
        <v>175</v>
      </c>
      <c r="O13" s="156" t="s">
        <v>126</v>
      </c>
      <c r="P13" s="157" t="s">
        <v>141</v>
      </c>
    </row>
    <row r="14" spans="2:16" ht="18" thickTop="1" thickBot="1" x14ac:dyDescent="0.25">
      <c r="B14" s="183" t="s">
        <v>127</v>
      </c>
      <c r="C14" s="189" t="s">
        <v>125</v>
      </c>
      <c r="D14" s="186">
        <v>2019</v>
      </c>
      <c r="E14" s="187" t="s">
        <v>16</v>
      </c>
      <c r="F14" s="147">
        <f>VLOOKUP(G14,'Input keuzevariabelen'!$E$11:$I$80,2,FALSE)</f>
        <v>2</v>
      </c>
      <c r="G14" s="156" t="s">
        <v>28</v>
      </c>
      <c r="H14" s="209">
        <v>1946765</v>
      </c>
      <c r="I14" s="148" t="str">
        <f>VLOOKUP(G14,'Input keuzevariabelen'!$E$11:$I$80,3,FALSE)</f>
        <v>kWh</v>
      </c>
      <c r="J14" s="211">
        <f>SUMIFS('Input keuzevariabelen'!$H$11:$H$80,'Input keuzevariabelen'!$E$11:$E$80,Data!G14,'Input keuzevariabelen'!$J$11:$J$80,Data!D14)</f>
        <v>0</v>
      </c>
      <c r="K14" s="148" t="str">
        <f>VLOOKUP(G14,'Input keuzevariabelen'!$E$11:$I$80,5,FALSE)</f>
        <v>gram CO2/kWh</v>
      </c>
      <c r="L14" s="208">
        <f t="shared" si="0"/>
        <v>0</v>
      </c>
      <c r="M14" s="208">
        <f t="shared" si="1"/>
        <v>0</v>
      </c>
      <c r="N14" s="148" t="s">
        <v>175</v>
      </c>
      <c r="O14" s="156" t="s">
        <v>131</v>
      </c>
      <c r="P14" s="157" t="s">
        <v>141</v>
      </c>
    </row>
    <row r="15" spans="2:16" ht="18" thickTop="1" thickBot="1" x14ac:dyDescent="0.25">
      <c r="B15" s="183" t="s">
        <v>127</v>
      </c>
      <c r="C15" s="189" t="s">
        <v>125</v>
      </c>
      <c r="D15" s="186">
        <v>2019</v>
      </c>
      <c r="E15" s="187" t="s">
        <v>16</v>
      </c>
      <c r="F15" s="147">
        <f>VLOOKUP(G15,'Input keuzevariabelen'!$E$11:$I$80,2,FALSE)</f>
        <v>2</v>
      </c>
      <c r="G15" s="156" t="s">
        <v>29</v>
      </c>
      <c r="H15" s="209">
        <v>9625157</v>
      </c>
      <c r="I15" s="148" t="str">
        <f>VLOOKUP(G15,'Input keuzevariabelen'!$E$11:$I$80,3,FALSE)</f>
        <v>kWh</v>
      </c>
      <c r="J15" s="211">
        <f>SUMIFS('Input keuzevariabelen'!$H$11:$H$80,'Input keuzevariabelen'!$E$11:$E$80,Data!G15,'Input keuzevariabelen'!$J$11:$J$80,Data!D15)</f>
        <v>649</v>
      </c>
      <c r="K15" s="148" t="str">
        <f>VLOOKUP(G15,'Input keuzevariabelen'!$E$11:$I$80,5,FALSE)</f>
        <v>gram CO2/kWh</v>
      </c>
      <c r="L15" s="208">
        <f t="shared" si="0"/>
        <v>6246726.8930000002</v>
      </c>
      <c r="M15" s="208">
        <f t="shared" si="1"/>
        <v>6246.726893</v>
      </c>
      <c r="N15" s="148" t="s">
        <v>175</v>
      </c>
      <c r="O15" s="156" t="s">
        <v>133</v>
      </c>
      <c r="P15" s="157" t="s">
        <v>179</v>
      </c>
    </row>
    <row r="16" spans="2:16" ht="18" thickTop="1" thickBot="1" x14ac:dyDescent="0.25">
      <c r="B16" s="183" t="s">
        <v>127</v>
      </c>
      <c r="C16" s="189" t="s">
        <v>125</v>
      </c>
      <c r="D16" s="186">
        <v>2019</v>
      </c>
      <c r="E16" s="187" t="s">
        <v>16</v>
      </c>
      <c r="F16" s="147">
        <f>VLOOKUP(G16,'Input keuzevariabelen'!$E$11:$I$80,2,FALSE)</f>
        <v>2</v>
      </c>
      <c r="G16" s="156" t="s">
        <v>28</v>
      </c>
      <c r="H16" s="209">
        <v>8571299</v>
      </c>
      <c r="I16" s="148" t="str">
        <f>VLOOKUP(G16,'Input keuzevariabelen'!$E$11:$I$80,3,FALSE)</f>
        <v>kWh</v>
      </c>
      <c r="J16" s="211">
        <f>SUMIFS('Input keuzevariabelen'!$H$11:$H$80,'Input keuzevariabelen'!$E$11:$E$80,Data!G16,'Input keuzevariabelen'!$J$11:$J$80,Data!D16)</f>
        <v>0</v>
      </c>
      <c r="K16" s="148" t="str">
        <f>VLOOKUP(G16,'Input keuzevariabelen'!$E$11:$I$80,5,FALSE)</f>
        <v>gram CO2/kWh</v>
      </c>
      <c r="L16" s="208">
        <f t="shared" si="0"/>
        <v>0</v>
      </c>
      <c r="M16" s="208">
        <f t="shared" si="1"/>
        <v>0</v>
      </c>
      <c r="N16" s="148" t="s">
        <v>175</v>
      </c>
      <c r="O16" s="156" t="s">
        <v>134</v>
      </c>
      <c r="P16" s="157" t="s">
        <v>141</v>
      </c>
    </row>
    <row r="17" spans="2:16" ht="18" thickTop="1" thickBot="1" x14ac:dyDescent="0.25">
      <c r="B17" s="183" t="s">
        <v>127</v>
      </c>
      <c r="C17" s="189" t="s">
        <v>125</v>
      </c>
      <c r="D17" s="186">
        <v>2019</v>
      </c>
      <c r="E17" s="187" t="s">
        <v>16</v>
      </c>
      <c r="F17" s="147">
        <f>VLOOKUP(G17,'Input keuzevariabelen'!$E$11:$I$80,2,FALSE)</f>
        <v>2</v>
      </c>
      <c r="G17" s="156" t="s">
        <v>29</v>
      </c>
      <c r="H17" s="228">
        <v>4465000</v>
      </c>
      <c r="I17" s="148" t="str">
        <f>VLOOKUP(G17,'Input keuzevariabelen'!$E$11:$I$80,3,FALSE)</f>
        <v>kWh</v>
      </c>
      <c r="J17" s="211">
        <f>SUMIFS('Input keuzevariabelen'!$H$11:$H$80,'Input keuzevariabelen'!$E$11:$E$80,Data!G17,'Input keuzevariabelen'!$J$11:$J$80,Data!D17)</f>
        <v>649</v>
      </c>
      <c r="K17" s="148" t="str">
        <f>VLOOKUP(G17,'Input keuzevariabelen'!$E$11:$I$80,5,FALSE)</f>
        <v>gram CO2/kWh</v>
      </c>
      <c r="L17" s="208">
        <f t="shared" ref="L17:L18" si="6">H17*J17/1000</f>
        <v>2897785</v>
      </c>
      <c r="M17" s="208">
        <f t="shared" ref="M17:M18" si="7">H17*J17/1000000</f>
        <v>2897.7849999999999</v>
      </c>
      <c r="N17" s="148" t="s">
        <v>175</v>
      </c>
      <c r="O17" s="156" t="s">
        <v>135</v>
      </c>
      <c r="P17" s="157" t="s">
        <v>213</v>
      </c>
    </row>
    <row r="18" spans="2:16" ht="18" thickTop="1" thickBot="1" x14ac:dyDescent="0.25">
      <c r="B18" s="183" t="s">
        <v>127</v>
      </c>
      <c r="C18" s="189" t="s">
        <v>125</v>
      </c>
      <c r="D18" s="186">
        <v>2019</v>
      </c>
      <c r="E18" s="187" t="s">
        <v>16</v>
      </c>
      <c r="F18" s="147">
        <f>VLOOKUP(G18,'Input keuzevariabelen'!$E$11:$I$80,2,FALSE)</f>
        <v>2</v>
      </c>
      <c r="G18" s="156" t="s">
        <v>29</v>
      </c>
      <c r="H18" s="209">
        <v>19651233</v>
      </c>
      <c r="I18" s="148" t="str">
        <f>VLOOKUP(G18,'Input keuzevariabelen'!$E$11:$I$80,3,FALSE)</f>
        <v>kWh</v>
      </c>
      <c r="J18" s="211">
        <f>SUMIFS('Input keuzevariabelen'!$H$11:$H$80,'Input keuzevariabelen'!$E$11:$E$80,Data!G18,'Input keuzevariabelen'!$J$11:$J$80,Data!D18)</f>
        <v>649</v>
      </c>
      <c r="K18" s="148" t="str">
        <f>VLOOKUP(G18,'Input keuzevariabelen'!$E$11:$I$80,5,FALSE)</f>
        <v>gram CO2/kWh</v>
      </c>
      <c r="L18" s="208">
        <f t="shared" si="6"/>
        <v>12753650.217</v>
      </c>
      <c r="M18" s="208">
        <f t="shared" si="7"/>
        <v>12753.650217</v>
      </c>
      <c r="N18" s="148" t="s">
        <v>175</v>
      </c>
      <c r="O18" s="156" t="s">
        <v>135</v>
      </c>
      <c r="P18" s="157" t="s">
        <v>179</v>
      </c>
    </row>
    <row r="19" spans="2:16" ht="18" thickTop="1" thickBot="1" x14ac:dyDescent="0.25">
      <c r="B19" s="183" t="s">
        <v>127</v>
      </c>
      <c r="C19" s="189" t="s">
        <v>125</v>
      </c>
      <c r="D19" s="186">
        <v>2019</v>
      </c>
      <c r="E19" s="187" t="s">
        <v>16</v>
      </c>
      <c r="F19" s="147">
        <f>VLOOKUP(G19,'Input keuzevariabelen'!$E$11:$I$80,2,FALSE)</f>
        <v>2</v>
      </c>
      <c r="G19" s="156" t="s">
        <v>28</v>
      </c>
      <c r="H19" s="209">
        <v>1175145</v>
      </c>
      <c r="I19" s="148" t="str">
        <f>VLOOKUP(G19,'Input keuzevariabelen'!$E$11:$I$80,3,FALSE)</f>
        <v>kWh</v>
      </c>
      <c r="J19" s="211">
        <f>SUMIFS('Input keuzevariabelen'!$H$11:$H$80,'Input keuzevariabelen'!$E$11:$E$80,Data!G19,'Input keuzevariabelen'!$J$11:$J$80,Data!D19)</f>
        <v>0</v>
      </c>
      <c r="K19" s="148" t="str">
        <f>VLOOKUP(G19,'Input keuzevariabelen'!$E$11:$I$80,5,FALSE)</f>
        <v>gram CO2/kWh</v>
      </c>
      <c r="L19" s="208">
        <f t="shared" si="0"/>
        <v>0</v>
      </c>
      <c r="M19" s="208">
        <f t="shared" si="1"/>
        <v>0</v>
      </c>
      <c r="N19" s="148" t="s">
        <v>175</v>
      </c>
      <c r="O19" s="156" t="s">
        <v>134</v>
      </c>
      <c r="P19" s="157" t="s">
        <v>161</v>
      </c>
    </row>
    <row r="20" spans="2:16" ht="18" thickTop="1" thickBot="1" x14ac:dyDescent="0.25">
      <c r="B20" s="183" t="s">
        <v>127</v>
      </c>
      <c r="C20" s="189" t="s">
        <v>117</v>
      </c>
      <c r="D20" s="186">
        <v>2019</v>
      </c>
      <c r="E20" s="187" t="s">
        <v>16</v>
      </c>
      <c r="F20" s="147">
        <f>VLOOKUP(G20,'Input keuzevariabelen'!$E$11:$I$80,2,FALSE)</f>
        <v>1</v>
      </c>
      <c r="G20" s="156" t="s">
        <v>5</v>
      </c>
      <c r="H20" s="209">
        <v>32036</v>
      </c>
      <c r="I20" s="148" t="str">
        <f>VLOOKUP(G20,'Input keuzevariabelen'!$E$11:$I$80,3,FALSE)</f>
        <v>m3</v>
      </c>
      <c r="J20" s="211">
        <f>SUMIFS('Input keuzevariabelen'!$H$11:$H$80,'Input keuzevariabelen'!$E$11:$E$80,Data!G20,'Input keuzevariabelen'!$J$11:$J$80,Data!D20)</f>
        <v>1890</v>
      </c>
      <c r="K20" s="148" t="str">
        <f>VLOOKUP(G20,'Input keuzevariabelen'!$E$11:$I$80,5,FALSE)</f>
        <v>gram CO2/m3</v>
      </c>
      <c r="L20" s="208">
        <f t="shared" si="0"/>
        <v>60548.04</v>
      </c>
      <c r="M20" s="208">
        <f t="shared" si="1"/>
        <v>60.54804</v>
      </c>
      <c r="N20" s="148" t="s">
        <v>175</v>
      </c>
      <c r="O20" s="156" t="s">
        <v>117</v>
      </c>
      <c r="P20" s="157" t="s">
        <v>137</v>
      </c>
    </row>
    <row r="21" spans="2:16" ht="18" thickTop="1" thickBot="1" x14ac:dyDescent="0.25">
      <c r="B21" s="183" t="s">
        <v>127</v>
      </c>
      <c r="C21" s="189" t="s">
        <v>126</v>
      </c>
      <c r="D21" s="186">
        <v>2019</v>
      </c>
      <c r="E21" s="187" t="s">
        <v>16</v>
      </c>
      <c r="F21" s="147">
        <f>VLOOKUP(G21,'Input keuzevariabelen'!$E$11:$I$80,2,FALSE)</f>
        <v>1</v>
      </c>
      <c r="G21" s="156" t="s">
        <v>5</v>
      </c>
      <c r="H21" s="209">
        <v>55816</v>
      </c>
      <c r="I21" s="148" t="str">
        <f>VLOOKUP(G21,'Input keuzevariabelen'!$E$11:$I$80,3,FALSE)</f>
        <v>m3</v>
      </c>
      <c r="J21" s="211">
        <f>SUMIFS('Input keuzevariabelen'!$H$11:$H$80,'Input keuzevariabelen'!$E$11:$E$80,Data!G21,'Input keuzevariabelen'!$J$11:$J$80,Data!D21)</f>
        <v>1890</v>
      </c>
      <c r="K21" s="148" t="str">
        <f>VLOOKUP(G21,'Input keuzevariabelen'!$E$11:$I$80,5,FALSE)</f>
        <v>gram CO2/m3</v>
      </c>
      <c r="L21" s="208">
        <f t="shared" si="0"/>
        <v>105492.24</v>
      </c>
      <c r="M21" s="208">
        <f t="shared" si="1"/>
        <v>105.49224</v>
      </c>
      <c r="N21" s="148" t="s">
        <v>175</v>
      </c>
      <c r="O21" s="156" t="s">
        <v>126</v>
      </c>
      <c r="P21" s="157" t="s">
        <v>137</v>
      </c>
    </row>
    <row r="22" spans="2:16" ht="18" thickTop="1" thickBot="1" x14ac:dyDescent="0.25">
      <c r="B22" s="183" t="s">
        <v>127</v>
      </c>
      <c r="C22" s="189" t="s">
        <v>125</v>
      </c>
      <c r="D22" s="186">
        <v>2019</v>
      </c>
      <c r="E22" s="187" t="s">
        <v>16</v>
      </c>
      <c r="F22" s="147">
        <f>VLOOKUP(G22,'Input keuzevariabelen'!$E$11:$I$80,2,FALSE)</f>
        <v>1</v>
      </c>
      <c r="G22" s="156" t="s">
        <v>5</v>
      </c>
      <c r="H22" s="209">
        <v>2662</v>
      </c>
      <c r="I22" s="148" t="str">
        <f>VLOOKUP(G22,'Input keuzevariabelen'!$E$11:$I$80,3,FALSE)</f>
        <v>m3</v>
      </c>
      <c r="J22" s="211">
        <f>SUMIFS('Input keuzevariabelen'!$H$11:$H$80,'Input keuzevariabelen'!$E$11:$E$80,Data!G22,'Input keuzevariabelen'!$J$11:$J$80,Data!D22)</f>
        <v>1890</v>
      </c>
      <c r="K22" s="148" t="str">
        <f>VLOOKUP(G22,'Input keuzevariabelen'!$E$11:$I$80,5,FALSE)</f>
        <v>gram CO2/m3</v>
      </c>
      <c r="L22" s="208">
        <f t="shared" si="0"/>
        <v>5031.18</v>
      </c>
      <c r="M22" s="208">
        <f t="shared" si="1"/>
        <v>5.03118</v>
      </c>
      <c r="N22" s="148" t="s">
        <v>175</v>
      </c>
      <c r="O22" s="156" t="s">
        <v>131</v>
      </c>
      <c r="P22" s="157" t="s">
        <v>137</v>
      </c>
    </row>
    <row r="23" spans="2:16" ht="18" thickTop="1" thickBot="1" x14ac:dyDescent="0.25">
      <c r="B23" s="183" t="s">
        <v>127</v>
      </c>
      <c r="C23" s="189" t="s">
        <v>125</v>
      </c>
      <c r="D23" s="186">
        <v>2019</v>
      </c>
      <c r="E23" s="187" t="s">
        <v>16</v>
      </c>
      <c r="F23" s="147">
        <f>VLOOKUP(G23,'Input keuzevariabelen'!$E$11:$I$80,2,FALSE)</f>
        <v>1</v>
      </c>
      <c r="G23" s="156" t="s">
        <v>5</v>
      </c>
      <c r="H23" s="209">
        <v>9335</v>
      </c>
      <c r="I23" s="148" t="str">
        <f>VLOOKUP(G23,'Input keuzevariabelen'!$E$11:$I$80,3,FALSE)</f>
        <v>m3</v>
      </c>
      <c r="J23" s="211">
        <f>SUMIFS('Input keuzevariabelen'!$H$11:$H$80,'Input keuzevariabelen'!$E$11:$E$80,Data!G23,'Input keuzevariabelen'!$J$11:$J$80,Data!D23)</f>
        <v>1890</v>
      </c>
      <c r="K23" s="148" t="str">
        <f>VLOOKUP(G23,'Input keuzevariabelen'!$E$11:$I$80,5,FALSE)</f>
        <v>gram CO2/m3</v>
      </c>
      <c r="L23" s="208">
        <f t="shared" si="0"/>
        <v>17643.150000000001</v>
      </c>
      <c r="M23" s="208">
        <f t="shared" si="1"/>
        <v>17.643149999999999</v>
      </c>
      <c r="N23" s="148" t="s">
        <v>175</v>
      </c>
      <c r="O23" s="156" t="s">
        <v>133</v>
      </c>
      <c r="P23" s="157" t="s">
        <v>137</v>
      </c>
    </row>
    <row r="24" spans="2:16" ht="18" thickTop="1" thickBot="1" x14ac:dyDescent="0.25">
      <c r="B24" s="183" t="s">
        <v>127</v>
      </c>
      <c r="C24" s="189" t="s">
        <v>125</v>
      </c>
      <c r="D24" s="186">
        <v>2019</v>
      </c>
      <c r="E24" s="187" t="s">
        <v>16</v>
      </c>
      <c r="F24" s="147">
        <f>VLOOKUP(G24,'Input keuzevariabelen'!$E$11:$I$80,2,FALSE)</f>
        <v>1</v>
      </c>
      <c r="G24" s="156" t="s">
        <v>5</v>
      </c>
      <c r="H24" s="209">
        <v>423364</v>
      </c>
      <c r="I24" s="148" t="str">
        <f>VLOOKUP(G24,'Input keuzevariabelen'!$E$11:$I$80,3,FALSE)</f>
        <v>m3</v>
      </c>
      <c r="J24" s="211">
        <f>SUMIFS('Input keuzevariabelen'!$H$11:$H$80,'Input keuzevariabelen'!$E$11:$E$80,Data!G24,'Input keuzevariabelen'!$J$11:$J$80,Data!D24)</f>
        <v>1890</v>
      </c>
      <c r="K24" s="148" t="str">
        <f>VLOOKUP(G24,'Input keuzevariabelen'!$E$11:$I$80,5,FALSE)</f>
        <v>gram CO2/m3</v>
      </c>
      <c r="L24" s="208">
        <f t="shared" si="0"/>
        <v>800157.96</v>
      </c>
      <c r="M24" s="208">
        <f t="shared" si="1"/>
        <v>800.15796</v>
      </c>
      <c r="N24" s="148" t="s">
        <v>175</v>
      </c>
      <c r="O24" s="157" t="s">
        <v>134</v>
      </c>
      <c r="P24" s="157" t="s">
        <v>137</v>
      </c>
    </row>
    <row r="25" spans="2:16" ht="18" thickTop="1" thickBot="1" x14ac:dyDescent="0.25">
      <c r="B25" s="183" t="s">
        <v>127</v>
      </c>
      <c r="C25" s="189" t="s">
        <v>125</v>
      </c>
      <c r="D25" s="186">
        <v>2019</v>
      </c>
      <c r="E25" s="187" t="s">
        <v>16</v>
      </c>
      <c r="F25" s="147">
        <f>VLOOKUP(G25,'Input keuzevariabelen'!$E$11:$I$80,2,FALSE)</f>
        <v>1</v>
      </c>
      <c r="G25" s="156" t="s">
        <v>5</v>
      </c>
      <c r="H25" s="209">
        <v>327133</v>
      </c>
      <c r="I25" s="148" t="str">
        <f>VLOOKUP(G25,'Input keuzevariabelen'!$E$11:$I$80,3,FALSE)</f>
        <v>m3</v>
      </c>
      <c r="J25" s="211">
        <f>SUMIFS('Input keuzevariabelen'!$H$11:$H$80,'Input keuzevariabelen'!$E$11:$E$80,Data!G25,'Input keuzevariabelen'!$J$11:$J$80,Data!D25)</f>
        <v>1890</v>
      </c>
      <c r="K25" s="148" t="str">
        <f>VLOOKUP(G25,'Input keuzevariabelen'!$E$11:$I$80,5,FALSE)</f>
        <v>gram CO2/m3</v>
      </c>
      <c r="L25" s="208">
        <f t="shared" si="0"/>
        <v>618281.37</v>
      </c>
      <c r="M25" s="208">
        <f t="shared" si="1"/>
        <v>618.28137000000004</v>
      </c>
      <c r="N25" s="148" t="s">
        <v>175</v>
      </c>
      <c r="O25" s="157" t="s">
        <v>135</v>
      </c>
      <c r="P25" s="157" t="s">
        <v>137</v>
      </c>
    </row>
    <row r="26" spans="2:16" ht="18" thickTop="1" thickBot="1" x14ac:dyDescent="0.25">
      <c r="B26" s="183" t="s">
        <v>127</v>
      </c>
      <c r="C26" s="189" t="s">
        <v>125</v>
      </c>
      <c r="D26" s="186">
        <v>2019</v>
      </c>
      <c r="E26" s="187" t="s">
        <v>16</v>
      </c>
      <c r="F26" s="147" t="str">
        <f>VLOOKUP(G26,'Input keuzevariabelen'!$E$11:$I$80,2,FALSE)</f>
        <v>Memo</v>
      </c>
      <c r="G26" s="156" t="s">
        <v>108</v>
      </c>
      <c r="H26" s="209">
        <v>538873</v>
      </c>
      <c r="I26" s="148" t="str">
        <f>VLOOKUP(G26,'Input keuzevariabelen'!$E$11:$I$80,3,FALSE)</f>
        <v>m3</v>
      </c>
      <c r="J26" s="211">
        <f>SUMIFS('Input keuzevariabelen'!$H$11:$H$80,'Input keuzevariabelen'!$E$11:$E$80,Data!G26,'Input keuzevariabelen'!$J$11:$J$80,Data!D26)</f>
        <v>1962</v>
      </c>
      <c r="K26" s="148" t="str">
        <f>VLOOKUP(G26,'Input keuzevariabelen'!$E$11:$I$80,5,FALSE)</f>
        <v>gram CO2/m3</v>
      </c>
      <c r="L26" s="208">
        <f t="shared" si="0"/>
        <v>1057268.8259999999</v>
      </c>
      <c r="M26" s="208">
        <f t="shared" si="1"/>
        <v>1057.268826</v>
      </c>
      <c r="N26" s="148" t="s">
        <v>175</v>
      </c>
      <c r="O26" s="156" t="s">
        <v>131</v>
      </c>
      <c r="P26" s="157" t="s">
        <v>142</v>
      </c>
    </row>
    <row r="27" spans="2:16" ht="18" thickTop="1" thickBot="1" x14ac:dyDescent="0.25">
      <c r="B27" s="183" t="s">
        <v>127</v>
      </c>
      <c r="C27" s="189" t="s">
        <v>125</v>
      </c>
      <c r="D27" s="186">
        <v>2019</v>
      </c>
      <c r="E27" s="187" t="s">
        <v>16</v>
      </c>
      <c r="F27" s="147" t="str">
        <f>VLOOKUP(G27,'Input keuzevariabelen'!$E$11:$I$80,2,FALSE)</f>
        <v>Memo</v>
      </c>
      <c r="G27" s="156" t="s">
        <v>108</v>
      </c>
      <c r="H27" s="209">
        <v>3109226</v>
      </c>
      <c r="I27" s="148" t="str">
        <f>VLOOKUP(G27,'Input keuzevariabelen'!$E$11:$I$80,3,FALSE)</f>
        <v>m3</v>
      </c>
      <c r="J27" s="211">
        <f>SUMIFS('Input keuzevariabelen'!$H$11:$H$80,'Input keuzevariabelen'!$E$11:$E$80,Data!G27,'Input keuzevariabelen'!$J$11:$J$80,Data!D27)</f>
        <v>1962</v>
      </c>
      <c r="K27" s="148" t="str">
        <f>VLOOKUP(G27,'Input keuzevariabelen'!$E$11:$I$80,5,FALSE)</f>
        <v>gram CO2/m3</v>
      </c>
      <c r="L27" s="208">
        <f t="shared" si="0"/>
        <v>6100301.4119999995</v>
      </c>
      <c r="M27" s="208">
        <f t="shared" si="1"/>
        <v>6100.3014119999998</v>
      </c>
      <c r="N27" s="148" t="s">
        <v>175</v>
      </c>
      <c r="O27" s="156" t="s">
        <v>133</v>
      </c>
      <c r="P27" s="157" t="s">
        <v>142</v>
      </c>
    </row>
    <row r="28" spans="2:16" ht="18" thickTop="1" thickBot="1" x14ac:dyDescent="0.25">
      <c r="B28" s="183" t="s">
        <v>127</v>
      </c>
      <c r="C28" s="189" t="s">
        <v>125</v>
      </c>
      <c r="D28" s="186">
        <v>2019</v>
      </c>
      <c r="E28" s="187" t="s">
        <v>16</v>
      </c>
      <c r="F28" s="147" t="str">
        <f>VLOOKUP(G28,'Input keuzevariabelen'!$E$11:$I$80,2,FALSE)</f>
        <v>Memo</v>
      </c>
      <c r="G28" s="156" t="s">
        <v>108</v>
      </c>
      <c r="H28" s="209">
        <v>4599007</v>
      </c>
      <c r="I28" s="148" t="str">
        <f>VLOOKUP(G28,'Input keuzevariabelen'!$E$11:$I$80,3,FALSE)</f>
        <v>m3</v>
      </c>
      <c r="J28" s="211">
        <f>SUMIFS('Input keuzevariabelen'!$H$11:$H$80,'Input keuzevariabelen'!$E$11:$E$80,Data!G28,'Input keuzevariabelen'!$J$11:$J$80,Data!D28)</f>
        <v>1962</v>
      </c>
      <c r="K28" s="148" t="str">
        <f>VLOOKUP(G28,'Input keuzevariabelen'!$E$11:$I$80,5,FALSE)</f>
        <v>gram CO2/m3</v>
      </c>
      <c r="L28" s="208">
        <f t="shared" ref="L28" si="8">H28*J28/1000</f>
        <v>9023251.7339999992</v>
      </c>
      <c r="M28" s="208">
        <f t="shared" ref="M28" si="9">H28*J28/1000000</f>
        <v>9023.2517339999995</v>
      </c>
      <c r="N28" s="148" t="s">
        <v>175</v>
      </c>
      <c r="O28" s="156" t="s">
        <v>135</v>
      </c>
      <c r="P28" s="157" t="s">
        <v>142</v>
      </c>
    </row>
    <row r="29" spans="2:16" ht="18" thickTop="1" thickBot="1" x14ac:dyDescent="0.25">
      <c r="B29" s="183" t="s">
        <v>127</v>
      </c>
      <c r="C29" s="183" t="s">
        <v>125</v>
      </c>
      <c r="D29" s="186">
        <v>2019</v>
      </c>
      <c r="E29" s="187" t="s">
        <v>16</v>
      </c>
      <c r="F29" s="147" t="str">
        <f>VLOOKUP(G29,'Input keuzevariabelen'!$E$11:$I$80,2,FALSE)</f>
        <v>Memo</v>
      </c>
      <c r="G29" s="156" t="s">
        <v>84</v>
      </c>
      <c r="H29" s="209">
        <v>6410</v>
      </c>
      <c r="I29" s="148" t="str">
        <f>VLOOKUP(G29,'Input keuzevariabelen'!$E$11:$I$80,3,FALSE)</f>
        <v>m3</v>
      </c>
      <c r="J29" s="211">
        <f>SUMIFS('Input keuzevariabelen'!$H$11:$H$80,'Input keuzevariabelen'!$E$11:$E$80,Data!G29,'Input keuzevariabelen'!$J$11:$J$80,Data!D29)</f>
        <v>1962</v>
      </c>
      <c r="K29" s="148" t="str">
        <f>VLOOKUP(G29,'Input keuzevariabelen'!$E$11:$I$80,5,FALSE)</f>
        <v>gram CO2/m3</v>
      </c>
      <c r="L29" s="208">
        <f t="shared" si="0"/>
        <v>12576.42</v>
      </c>
      <c r="M29" s="208">
        <f t="shared" si="1"/>
        <v>12.576420000000001</v>
      </c>
      <c r="N29" s="148" t="s">
        <v>175</v>
      </c>
      <c r="O29" s="156" t="s">
        <v>131</v>
      </c>
      <c r="P29" s="157" t="s">
        <v>143</v>
      </c>
    </row>
    <row r="30" spans="2:16" ht="18" thickTop="1" thickBot="1" x14ac:dyDescent="0.25">
      <c r="B30" s="183" t="s">
        <v>127</v>
      </c>
      <c r="C30" s="183" t="s">
        <v>125</v>
      </c>
      <c r="D30" s="186">
        <v>2019</v>
      </c>
      <c r="E30" s="187" t="s">
        <v>16</v>
      </c>
      <c r="F30" s="147" t="str">
        <f>VLOOKUP(G30,'Input keuzevariabelen'!$E$11:$I$80,2,FALSE)</f>
        <v>Memo</v>
      </c>
      <c r="G30" s="156" t="s">
        <v>84</v>
      </c>
      <c r="H30" s="209">
        <v>14568</v>
      </c>
      <c r="I30" s="148" t="str">
        <f>VLOOKUP(G30,'Input keuzevariabelen'!$E$11:$I$80,3,FALSE)</f>
        <v>m3</v>
      </c>
      <c r="J30" s="211">
        <f>SUMIFS('Input keuzevariabelen'!$H$11:$H$80,'Input keuzevariabelen'!$E$11:$E$80,Data!G30,'Input keuzevariabelen'!$J$11:$J$80,Data!D30)</f>
        <v>1962</v>
      </c>
      <c r="K30" s="148" t="str">
        <f>VLOOKUP(G30,'Input keuzevariabelen'!$E$11:$I$80,5,FALSE)</f>
        <v>gram CO2/m3</v>
      </c>
      <c r="L30" s="208">
        <f t="shared" si="0"/>
        <v>28582.416000000001</v>
      </c>
      <c r="M30" s="208">
        <f t="shared" si="1"/>
        <v>28.582415999999998</v>
      </c>
      <c r="N30" s="148" t="s">
        <v>175</v>
      </c>
      <c r="O30" s="156" t="s">
        <v>133</v>
      </c>
      <c r="P30" s="157" t="s">
        <v>143</v>
      </c>
    </row>
    <row r="31" spans="2:16" ht="18" thickTop="1" thickBot="1" x14ac:dyDescent="0.25">
      <c r="B31" s="183" t="s">
        <v>127</v>
      </c>
      <c r="C31" s="183" t="s">
        <v>125</v>
      </c>
      <c r="D31" s="186">
        <v>2019</v>
      </c>
      <c r="E31" s="187" t="s">
        <v>16</v>
      </c>
      <c r="F31" s="147" t="str">
        <f>VLOOKUP(G31,'Input keuzevariabelen'!$E$11:$I$80,2,FALSE)</f>
        <v>Memo</v>
      </c>
      <c r="G31" s="156" t="s">
        <v>84</v>
      </c>
      <c r="H31" s="209">
        <v>18947</v>
      </c>
      <c r="I31" s="148" t="str">
        <f>VLOOKUP(G31,'Input keuzevariabelen'!$E$11:$I$80,3,FALSE)</f>
        <v>m3</v>
      </c>
      <c r="J31" s="211">
        <f>SUMIFS('Input keuzevariabelen'!$H$11:$H$80,'Input keuzevariabelen'!$E$11:$E$80,Data!G31,'Input keuzevariabelen'!$J$11:$J$80,Data!D31)</f>
        <v>1962</v>
      </c>
      <c r="K31" s="148" t="str">
        <f>VLOOKUP(G31,'Input keuzevariabelen'!$E$11:$I$80,5,FALSE)</f>
        <v>gram CO2/m3</v>
      </c>
      <c r="L31" s="208">
        <f t="shared" ref="L31" si="10">H31*J31/1000</f>
        <v>37174.014000000003</v>
      </c>
      <c r="M31" s="208">
        <f t="shared" ref="M31" si="11">H31*J31/1000000</f>
        <v>37.174014</v>
      </c>
      <c r="N31" s="148" t="s">
        <v>175</v>
      </c>
      <c r="O31" s="156" t="s">
        <v>134</v>
      </c>
      <c r="P31" s="157" t="s">
        <v>143</v>
      </c>
    </row>
    <row r="32" spans="2:16" ht="18" thickTop="1" thickBot="1" x14ac:dyDescent="0.25">
      <c r="B32" s="183" t="s">
        <v>127</v>
      </c>
      <c r="C32" s="183" t="s">
        <v>125</v>
      </c>
      <c r="D32" s="186">
        <v>2019</v>
      </c>
      <c r="E32" s="187" t="s">
        <v>16</v>
      </c>
      <c r="F32" s="147" t="str">
        <f>VLOOKUP(G32,'Input keuzevariabelen'!$E$11:$I$80,2,FALSE)</f>
        <v>Memo</v>
      </c>
      <c r="G32" s="156" t="s">
        <v>84</v>
      </c>
      <c r="H32" s="209">
        <v>54179</v>
      </c>
      <c r="I32" s="148" t="str">
        <f>VLOOKUP(G32,'Input keuzevariabelen'!$E$11:$I$80,3,FALSE)</f>
        <v>m3</v>
      </c>
      <c r="J32" s="211">
        <f>SUMIFS('Input keuzevariabelen'!$H$11:$H$80,'Input keuzevariabelen'!$E$11:$E$80,Data!G32,'Input keuzevariabelen'!$J$11:$J$80,Data!D32)</f>
        <v>1962</v>
      </c>
      <c r="K32" s="148" t="str">
        <f>VLOOKUP(G32,'Input keuzevariabelen'!$E$11:$I$80,5,FALSE)</f>
        <v>gram CO2/m3</v>
      </c>
      <c r="L32" s="208">
        <f t="shared" ref="L32:L33" si="12">H32*J32/1000</f>
        <v>106299.198</v>
      </c>
      <c r="M32" s="208">
        <f t="shared" ref="M32:M33" si="13">H32*J32/1000000</f>
        <v>106.299198</v>
      </c>
      <c r="N32" s="148" t="s">
        <v>175</v>
      </c>
      <c r="O32" s="156" t="s">
        <v>135</v>
      </c>
      <c r="P32" s="157" t="s">
        <v>143</v>
      </c>
    </row>
    <row r="33" spans="2:17" ht="18" thickTop="1" thickBot="1" x14ac:dyDescent="0.25">
      <c r="B33" s="183" t="s">
        <v>127</v>
      </c>
      <c r="C33" s="183" t="s">
        <v>126</v>
      </c>
      <c r="D33" s="186">
        <v>2019</v>
      </c>
      <c r="E33" s="187" t="s">
        <v>16</v>
      </c>
      <c r="F33" s="147">
        <f>VLOOKUP(G33,'Input keuzevariabelen'!$E$11:$I$80,2,FALSE)</f>
        <v>1</v>
      </c>
      <c r="G33" s="156" t="s">
        <v>81</v>
      </c>
      <c r="H33" s="209">
        <v>3111</v>
      </c>
      <c r="I33" s="148" t="str">
        <f>VLOOKUP(G33,'Input keuzevariabelen'!$E$11:$I$80,3,FALSE)</f>
        <v>liter</v>
      </c>
      <c r="J33" s="211">
        <f>SUMIFS('Input keuzevariabelen'!$H$11:$H$80,'Input keuzevariabelen'!$E$11:$E$80,Data!G33,'Input keuzevariabelen'!$J$11:$J$80,Data!D33)</f>
        <v>3309</v>
      </c>
      <c r="K33" s="148" t="str">
        <f>VLOOKUP(G33,'Input keuzevariabelen'!$E$11:$I$80,5,FALSE)</f>
        <v>gram CO2/liter</v>
      </c>
      <c r="L33" s="208">
        <f t="shared" si="12"/>
        <v>10294.299000000001</v>
      </c>
      <c r="M33" s="208">
        <f t="shared" si="13"/>
        <v>10.294299000000001</v>
      </c>
      <c r="N33" s="148" t="s">
        <v>175</v>
      </c>
      <c r="O33" s="156" t="s">
        <v>135</v>
      </c>
      <c r="P33" s="156" t="s">
        <v>144</v>
      </c>
      <c r="Q33" s="157"/>
    </row>
    <row r="34" spans="2:17" ht="18" thickTop="1" thickBot="1" x14ac:dyDescent="0.25">
      <c r="B34" s="183" t="s">
        <v>127</v>
      </c>
      <c r="C34" s="183" t="s">
        <v>126</v>
      </c>
      <c r="D34" s="186">
        <v>2019</v>
      </c>
      <c r="E34" s="187" t="s">
        <v>16</v>
      </c>
      <c r="F34" s="147">
        <f>VLOOKUP(G34,'Input keuzevariabelen'!$E$11:$I$80,2,FALSE)</f>
        <v>1</v>
      </c>
      <c r="G34" s="156" t="s">
        <v>82</v>
      </c>
      <c r="H34" s="209">
        <v>28156</v>
      </c>
      <c r="I34" s="148" t="str">
        <f>VLOOKUP(G34,'Input keuzevariabelen'!$E$11:$I$80,3,FALSE)</f>
        <v>liter</v>
      </c>
      <c r="J34" s="211">
        <f>SUMIFS('Input keuzevariabelen'!$H$11:$H$80,'Input keuzevariabelen'!$E$11:$E$80,Data!G34,'Input keuzevariabelen'!$J$11:$J$80,Data!D34)</f>
        <v>2884</v>
      </c>
      <c r="K34" s="148" t="str">
        <f>VLOOKUP(G34,'Input keuzevariabelen'!$E$11:$I$80,5,FALSE)</f>
        <v>gram CO2/liter</v>
      </c>
      <c r="L34" s="208">
        <f t="shared" ref="L34:L35" si="14">H34*J34/1000</f>
        <v>81201.903999999995</v>
      </c>
      <c r="M34" s="208">
        <f t="shared" ref="M34:M35" si="15">H34*J34/1000000</f>
        <v>81.201903999999999</v>
      </c>
      <c r="N34" s="156" t="s">
        <v>178</v>
      </c>
      <c r="O34" s="156"/>
      <c r="P34" s="156" t="s">
        <v>145</v>
      </c>
      <c r="Q34" s="157"/>
    </row>
    <row r="35" spans="2:17" ht="18" thickTop="1" thickBot="1" x14ac:dyDescent="0.25">
      <c r="B35" s="183" t="s">
        <v>127</v>
      </c>
      <c r="C35" s="183" t="s">
        <v>126</v>
      </c>
      <c r="D35" s="186">
        <v>2019</v>
      </c>
      <c r="E35" s="187" t="s">
        <v>16</v>
      </c>
      <c r="F35" s="147">
        <f>VLOOKUP(G35,'Input keuzevariabelen'!$E$11:$I$80,2,FALSE)</f>
        <v>1</v>
      </c>
      <c r="G35" s="156" t="s">
        <v>81</v>
      </c>
      <c r="H35" s="209">
        <v>30866</v>
      </c>
      <c r="I35" s="148" t="str">
        <f>VLOOKUP(G35,'Input keuzevariabelen'!$E$11:$I$80,3,FALSE)</f>
        <v>liter</v>
      </c>
      <c r="J35" s="211">
        <f>SUMIFS('Input keuzevariabelen'!$H$11:$H$80,'Input keuzevariabelen'!$E$11:$E$80,Data!G35,'Input keuzevariabelen'!$J$11:$J$80,Data!D35)</f>
        <v>3309</v>
      </c>
      <c r="K35" s="148" t="str">
        <f>VLOOKUP(G35,'Input keuzevariabelen'!$E$11:$I$80,5,FALSE)</f>
        <v>gram CO2/liter</v>
      </c>
      <c r="L35" s="208">
        <f t="shared" si="14"/>
        <v>102135.594</v>
      </c>
      <c r="M35" s="208">
        <f t="shared" si="15"/>
        <v>102.135594</v>
      </c>
      <c r="N35" s="156" t="s">
        <v>178</v>
      </c>
      <c r="O35" s="156"/>
      <c r="P35" s="156" t="s">
        <v>129</v>
      </c>
      <c r="Q35" s="157"/>
    </row>
    <row r="36" spans="2:17" ht="18" thickTop="1" thickBot="1" x14ac:dyDescent="0.25">
      <c r="B36" s="183" t="s">
        <v>127</v>
      </c>
      <c r="C36" s="183" t="s">
        <v>126</v>
      </c>
      <c r="D36" s="186">
        <v>2019</v>
      </c>
      <c r="E36" s="190" t="s">
        <v>16</v>
      </c>
      <c r="F36" s="147">
        <f>VLOOKUP(G36,'Input keuzevariabelen'!$E$11:$I$80,2,FALSE)</f>
        <v>2</v>
      </c>
      <c r="G36" s="156" t="s">
        <v>97</v>
      </c>
      <c r="H36" s="209">
        <v>143</v>
      </c>
      <c r="I36" s="148" t="str">
        <f>VLOOKUP(G36,'Input keuzevariabelen'!$E$11:$I$80,3,FALSE)</f>
        <v>kWh</v>
      </c>
      <c r="J36" s="211">
        <f>SUMIFS('Input keuzevariabelen'!$H$11:$H$80,'Input keuzevariabelen'!$E$11:$E$80,Data!G36,'Input keuzevariabelen'!$J$11:$J$80,Data!D36)</f>
        <v>649</v>
      </c>
      <c r="K36" s="148" t="str">
        <f>VLOOKUP(G36,'Input keuzevariabelen'!$E$11:$I$80,5,FALSE)</f>
        <v>gram CO2/kWh</v>
      </c>
      <c r="L36" s="208">
        <f t="shared" si="0"/>
        <v>92.807000000000002</v>
      </c>
      <c r="M36" s="208">
        <f t="shared" si="1"/>
        <v>9.2807000000000001E-2</v>
      </c>
      <c r="N36" s="156" t="s">
        <v>178</v>
      </c>
      <c r="O36" s="156"/>
      <c r="P36" s="157" t="s">
        <v>146</v>
      </c>
    </row>
    <row r="37" spans="2:17" ht="18" thickTop="1" thickBot="1" x14ac:dyDescent="0.25">
      <c r="B37" s="183" t="s">
        <v>127</v>
      </c>
      <c r="C37" s="183" t="s">
        <v>126</v>
      </c>
      <c r="D37" s="186">
        <v>2019</v>
      </c>
      <c r="E37" s="190" t="s">
        <v>16</v>
      </c>
      <c r="F37" s="147" t="str">
        <f>VLOOKUP(G37,'Input keuzevariabelen'!$E$11:$I$80,2,FALSE)</f>
        <v>bt</v>
      </c>
      <c r="G37" s="156" t="s">
        <v>12</v>
      </c>
      <c r="H37" s="209">
        <v>418249</v>
      </c>
      <c r="I37" s="148" t="str">
        <f>VLOOKUP(G37,'Input keuzevariabelen'!$E$11:$I$80,3,FALSE)</f>
        <v>km</v>
      </c>
      <c r="J37" s="211">
        <f>SUMIFS('Input keuzevariabelen'!$H$11:$H$80,'Input keuzevariabelen'!$E$11:$E$80,Data!G37,'Input keuzevariabelen'!$J$11:$J$80,Data!D37)</f>
        <v>220</v>
      </c>
      <c r="K37" s="148" t="str">
        <f>VLOOKUP(G37,'Input keuzevariabelen'!$E$11:$I$80,5,FALSE)</f>
        <v>gram CO2/km</v>
      </c>
      <c r="L37" s="208">
        <f t="shared" si="0"/>
        <v>92014.78</v>
      </c>
      <c r="M37" s="208">
        <f t="shared" si="1"/>
        <v>92.014780000000002</v>
      </c>
      <c r="N37" s="156" t="s">
        <v>178</v>
      </c>
      <c r="O37" s="156"/>
      <c r="P37" s="157" t="s">
        <v>148</v>
      </c>
    </row>
    <row r="38" spans="2:17" ht="18" thickTop="1" thickBot="1" x14ac:dyDescent="0.25">
      <c r="B38" s="183" t="s">
        <v>127</v>
      </c>
      <c r="C38" s="183" t="s">
        <v>126</v>
      </c>
      <c r="D38" s="186">
        <v>2019</v>
      </c>
      <c r="E38" s="190" t="s">
        <v>16</v>
      </c>
      <c r="F38" s="147" t="str">
        <f>VLOOKUP(G38,'Input keuzevariabelen'!$E$11:$I$80,2,FALSE)</f>
        <v>bt</v>
      </c>
      <c r="G38" s="156" t="s">
        <v>12</v>
      </c>
      <c r="H38" s="209">
        <v>1700485</v>
      </c>
      <c r="I38" s="148" t="str">
        <f>VLOOKUP(G38,'Input keuzevariabelen'!$E$11:$I$80,3,FALSE)</f>
        <v>km</v>
      </c>
      <c r="J38" s="211">
        <f>SUMIFS('Input keuzevariabelen'!$H$11:$H$80,'Input keuzevariabelen'!$E$11:$E$80,Data!G38,'Input keuzevariabelen'!$J$11:$J$80,Data!D38)</f>
        <v>220</v>
      </c>
      <c r="K38" s="148" t="str">
        <f>VLOOKUP(G38,'Input keuzevariabelen'!$E$11:$I$80,5,FALSE)</f>
        <v>gram CO2/km</v>
      </c>
      <c r="L38" s="208">
        <f t="shared" ref="L38" si="16">H38*J38/1000</f>
        <v>374106.7</v>
      </c>
      <c r="M38" s="208">
        <f t="shared" ref="M38" si="17">H38*J38/1000000</f>
        <v>374.10669999999999</v>
      </c>
      <c r="N38" s="156" t="s">
        <v>178</v>
      </c>
      <c r="O38" s="156"/>
      <c r="P38" s="157" t="s">
        <v>147</v>
      </c>
    </row>
    <row r="39" spans="2:17" ht="18" thickTop="1" thickBot="1" x14ac:dyDescent="0.25">
      <c r="B39" s="183" t="s">
        <v>127</v>
      </c>
      <c r="C39" s="183" t="s">
        <v>126</v>
      </c>
      <c r="D39" s="186">
        <v>2019</v>
      </c>
      <c r="E39" s="190" t="s">
        <v>16</v>
      </c>
      <c r="F39" s="147" t="str">
        <f>VLOOKUP(G39,'Input keuzevariabelen'!$E$11:$I$80,2,FALSE)</f>
        <v>bt</v>
      </c>
      <c r="G39" s="156" t="s">
        <v>98</v>
      </c>
      <c r="H39" s="209">
        <f>212563/0.13</f>
        <v>1635100</v>
      </c>
      <c r="I39" s="148" t="str">
        <f>VLOOKUP(G39,'Input keuzevariabelen'!$E$11:$I$80,3,FALSE)</f>
        <v>km</v>
      </c>
      <c r="J39" s="211">
        <f>SUMIFS('Input keuzevariabelen'!$H$11:$H$80,'Input keuzevariabelen'!$E$11:$E$80,Data!G39,'Input keuzevariabelen'!$J$11:$J$80,Data!D39)</f>
        <v>6</v>
      </c>
      <c r="K39" s="148" t="str">
        <f>VLOOKUP(G39,'Input keuzevariabelen'!$E$11:$I$80,5,FALSE)</f>
        <v>gram CO2/km</v>
      </c>
      <c r="L39" s="208">
        <f t="shared" si="0"/>
        <v>9810.6</v>
      </c>
      <c r="M39" s="208">
        <f t="shared" si="1"/>
        <v>9.8106000000000009</v>
      </c>
      <c r="N39" s="156" t="s">
        <v>178</v>
      </c>
      <c r="O39" s="156"/>
      <c r="P39" s="157" t="s">
        <v>149</v>
      </c>
    </row>
    <row r="40" spans="2:17" ht="18" thickTop="1" thickBot="1" x14ac:dyDescent="0.25">
      <c r="B40" s="183" t="s">
        <v>127</v>
      </c>
      <c r="C40" s="183" t="s">
        <v>126</v>
      </c>
      <c r="D40" s="186">
        <v>2019</v>
      </c>
      <c r="E40" s="187" t="s">
        <v>16</v>
      </c>
      <c r="F40" s="147" t="str">
        <f>VLOOKUP(G40,'Input keuzevariabelen'!$E$11:$I$80,2,FALSE)</f>
        <v>bt</v>
      </c>
      <c r="G40" s="156" t="s">
        <v>74</v>
      </c>
      <c r="H40" s="209">
        <v>7774</v>
      </c>
      <c r="I40" s="148" t="str">
        <f>VLOOKUP(G40,'Input keuzevariabelen'!$E$11:$I$80,3,FALSE)</f>
        <v>km</v>
      </c>
      <c r="J40" s="211">
        <f>SUMIFS('Input keuzevariabelen'!$H$11:$H$80,'Input keuzevariabelen'!$E$11:$E$80,Data!G40,'Input keuzevariabelen'!$J$11:$J$80,Data!D40)</f>
        <v>297</v>
      </c>
      <c r="K40" s="148" t="str">
        <f>VLOOKUP(G40,'Input keuzevariabelen'!$E$11:$I$80,5,FALSE)</f>
        <v>gram CO2/km</v>
      </c>
      <c r="L40" s="208">
        <f t="shared" ref="L40" si="18">H40*J40/1000</f>
        <v>2308.8780000000002</v>
      </c>
      <c r="M40" s="208">
        <f t="shared" ref="M40" si="19">H40*J40/1000000</f>
        <v>2.308878</v>
      </c>
      <c r="N40" s="156" t="s">
        <v>178</v>
      </c>
      <c r="O40" s="156"/>
      <c r="P40" s="157"/>
    </row>
    <row r="41" spans="2:17" ht="18" thickTop="1" thickBot="1" x14ac:dyDescent="0.25">
      <c r="B41" s="183" t="s">
        <v>127</v>
      </c>
      <c r="C41" s="183" t="s">
        <v>126</v>
      </c>
      <c r="D41" s="186">
        <v>2019</v>
      </c>
      <c r="E41" s="190" t="s">
        <v>16</v>
      </c>
      <c r="F41" s="147" t="str">
        <f>VLOOKUP(G41,'Input keuzevariabelen'!$E$11:$I$80,2,FALSE)</f>
        <v>bt</v>
      </c>
      <c r="G41" s="156" t="s">
        <v>75</v>
      </c>
      <c r="H41" s="209">
        <v>5786</v>
      </c>
      <c r="I41" s="148" t="str">
        <f>VLOOKUP(G41,'Input keuzevariabelen'!$E$11:$I$80,3,FALSE)</f>
        <v>km</v>
      </c>
      <c r="J41" s="211">
        <f>SUMIFS('Input keuzevariabelen'!$H$11:$H$80,'Input keuzevariabelen'!$E$11:$E$80,Data!G41,'Input keuzevariabelen'!$J$11:$J$80,Data!D41)</f>
        <v>200</v>
      </c>
      <c r="K41" s="148" t="str">
        <f>VLOOKUP(G41,'Input keuzevariabelen'!$E$11:$I$80,5,FALSE)</f>
        <v>gram CO2/km</v>
      </c>
      <c r="L41" s="208">
        <f t="shared" si="0"/>
        <v>1157.2</v>
      </c>
      <c r="M41" s="208">
        <f t="shared" si="1"/>
        <v>1.1572</v>
      </c>
      <c r="N41" s="156" t="s">
        <v>178</v>
      </c>
      <c r="O41" s="148"/>
      <c r="P41" s="157"/>
    </row>
    <row r="42" spans="2:17" ht="18" thickTop="1" thickBot="1" x14ac:dyDescent="0.25">
      <c r="B42" s="183" t="s">
        <v>127</v>
      </c>
      <c r="C42" s="183" t="s">
        <v>126</v>
      </c>
      <c r="D42" s="186">
        <v>2019</v>
      </c>
      <c r="E42" s="190" t="s">
        <v>16</v>
      </c>
      <c r="F42" s="147" t="str">
        <f>VLOOKUP(G42,'Input keuzevariabelen'!$E$11:$I$80,2,FALSE)</f>
        <v>bt</v>
      </c>
      <c r="G42" s="156" t="s">
        <v>76</v>
      </c>
      <c r="H42" s="209">
        <v>176578</v>
      </c>
      <c r="I42" s="148" t="str">
        <f>VLOOKUP(G42,'Input keuzevariabelen'!$E$11:$I$80,3,FALSE)</f>
        <v>km</v>
      </c>
      <c r="J42" s="211">
        <f>SUMIFS('Input keuzevariabelen'!$H$11:$H$80,'Input keuzevariabelen'!$E$11:$E$80,Data!G42,'Input keuzevariabelen'!$J$11:$J$80,Data!D42)</f>
        <v>147</v>
      </c>
      <c r="K42" s="148" t="str">
        <f>VLOOKUP(G42,'Input keuzevariabelen'!$E$11:$I$80,5,FALSE)</f>
        <v>gram CO2/km</v>
      </c>
      <c r="L42" s="208">
        <f t="shared" ref="L42:L54" si="20">H42*J42/1000</f>
        <v>25956.966</v>
      </c>
      <c r="M42" s="208">
        <f t="shared" ref="M42:M54" si="21">H42*J42/1000000</f>
        <v>25.956966000000001</v>
      </c>
      <c r="N42" s="156" t="s">
        <v>178</v>
      </c>
      <c r="O42" s="150"/>
      <c r="P42" s="157"/>
    </row>
    <row r="43" spans="2:17" ht="18" thickTop="1" thickBot="1" x14ac:dyDescent="0.25">
      <c r="B43" s="183"/>
      <c r="C43" s="183" t="s">
        <v>112</v>
      </c>
      <c r="D43" s="186">
        <v>2019</v>
      </c>
      <c r="E43" s="190" t="s">
        <v>16</v>
      </c>
      <c r="F43" s="147">
        <f>VLOOKUP(G43,'Input keuzevariabelen'!$E$11:$I$80,2,FALSE)</f>
        <v>1</v>
      </c>
      <c r="G43" s="156" t="s">
        <v>5</v>
      </c>
      <c r="H43" s="209">
        <f>283280*0.2</f>
        <v>56656</v>
      </c>
      <c r="I43" s="148" t="str">
        <f>VLOOKUP(G43,'Input keuzevariabelen'!$E$11:$I$80,3,FALSE)</f>
        <v>m3</v>
      </c>
      <c r="J43" s="211">
        <f>SUMIFS('Input keuzevariabelen'!$H$11:$H$80,'Input keuzevariabelen'!$E$11:$E$80,Data!G43,'Input keuzevariabelen'!$J$11:$J$80,Data!D43)</f>
        <v>1890</v>
      </c>
      <c r="K43" s="148" t="str">
        <f>VLOOKUP(G43,'Input keuzevariabelen'!$E$11:$I$80,5,FALSE)</f>
        <v>gram CO2/m3</v>
      </c>
      <c r="L43" s="208">
        <f t="shared" si="20"/>
        <v>107079.84</v>
      </c>
      <c r="M43" s="208">
        <f t="shared" si="21"/>
        <v>107.07984</v>
      </c>
      <c r="N43" s="156" t="s">
        <v>174</v>
      </c>
      <c r="O43" s="157" t="s">
        <v>112</v>
      </c>
      <c r="P43" s="157" t="s">
        <v>167</v>
      </c>
    </row>
    <row r="44" spans="2:17" ht="18" thickTop="1" thickBot="1" x14ac:dyDescent="0.25">
      <c r="B44" s="183"/>
      <c r="C44" s="183" t="s">
        <v>112</v>
      </c>
      <c r="D44" s="186">
        <v>2019</v>
      </c>
      <c r="E44" s="190" t="s">
        <v>16</v>
      </c>
      <c r="F44" s="147">
        <f>VLOOKUP(G44,'Input keuzevariabelen'!$E$11:$I$80,2,FALSE)</f>
        <v>2</v>
      </c>
      <c r="G44" s="156" t="s">
        <v>28</v>
      </c>
      <c r="H44" s="209">
        <f>19833000*0.2</f>
        <v>3966600</v>
      </c>
      <c r="I44" s="148" t="str">
        <f>VLOOKUP(G44,'Input keuzevariabelen'!$E$11:$I$80,3,FALSE)</f>
        <v>kWh</v>
      </c>
      <c r="J44" s="211">
        <f>SUMIFS('Input keuzevariabelen'!$H$11:$H$80,'Input keuzevariabelen'!$E$11:$E$80,Data!G44,'Input keuzevariabelen'!$J$11:$J$80,Data!D44)</f>
        <v>0</v>
      </c>
      <c r="K44" s="148" t="str">
        <f>VLOOKUP(G44,'Input keuzevariabelen'!$E$11:$I$80,5,FALSE)</f>
        <v>gram CO2/kWh</v>
      </c>
      <c r="L44" s="208">
        <f t="shared" si="20"/>
        <v>0</v>
      </c>
      <c r="M44" s="208">
        <f t="shared" si="21"/>
        <v>0</v>
      </c>
      <c r="N44" s="156" t="s">
        <v>174</v>
      </c>
      <c r="O44" s="157" t="s">
        <v>112</v>
      </c>
      <c r="P44" s="157" t="s">
        <v>167</v>
      </c>
    </row>
    <row r="45" spans="2:17" ht="18" thickTop="1" thickBot="1" x14ac:dyDescent="0.25">
      <c r="B45" s="183"/>
      <c r="C45" s="183" t="s">
        <v>112</v>
      </c>
      <c r="D45" s="186">
        <v>2019</v>
      </c>
      <c r="E45" s="190" t="s">
        <v>16</v>
      </c>
      <c r="F45" s="147">
        <f>VLOOKUP(G45,'Input keuzevariabelen'!$E$11:$I$80,2,FALSE)</f>
        <v>2</v>
      </c>
      <c r="G45" s="156" t="s">
        <v>28</v>
      </c>
      <c r="H45" s="209">
        <f>3326000*0.2</f>
        <v>665200</v>
      </c>
      <c r="I45" s="148" t="str">
        <f>VLOOKUP(G45,'Input keuzevariabelen'!$E$11:$I$80,3,FALSE)</f>
        <v>kWh</v>
      </c>
      <c r="J45" s="211">
        <f>SUMIFS('Input keuzevariabelen'!$H$11:$H$80,'Input keuzevariabelen'!$E$11:$E$80,Data!G45,'Input keuzevariabelen'!$J$11:$J$80,Data!D45)</f>
        <v>0</v>
      </c>
      <c r="K45" s="148" t="str">
        <f>VLOOKUP(G45,'Input keuzevariabelen'!$E$11:$I$80,5,FALSE)</f>
        <v>gram CO2/kWh</v>
      </c>
      <c r="L45" s="208">
        <f t="shared" si="20"/>
        <v>0</v>
      </c>
      <c r="M45" s="208">
        <f t="shared" si="21"/>
        <v>0</v>
      </c>
      <c r="N45" s="156" t="s">
        <v>174</v>
      </c>
      <c r="O45" s="157" t="s">
        <v>112</v>
      </c>
      <c r="P45" s="157" t="s">
        <v>167</v>
      </c>
    </row>
    <row r="46" spans="2:17" ht="18" thickTop="1" thickBot="1" x14ac:dyDescent="0.25">
      <c r="B46" s="183"/>
      <c r="C46" s="183" t="s">
        <v>101</v>
      </c>
      <c r="D46" s="186">
        <v>2019</v>
      </c>
      <c r="E46" s="190" t="s">
        <v>16</v>
      </c>
      <c r="F46" s="147">
        <f>VLOOKUP(G46,'Input keuzevariabelen'!$E$11:$I$80,2,FALSE)</f>
        <v>1</v>
      </c>
      <c r="G46" s="156" t="s">
        <v>5</v>
      </c>
      <c r="H46" s="209">
        <f>13682*0.286</f>
        <v>3913.0519999999997</v>
      </c>
      <c r="I46" s="148" t="str">
        <f>VLOOKUP(G46,'Input keuzevariabelen'!$E$11:$I$80,3,FALSE)</f>
        <v>m3</v>
      </c>
      <c r="J46" s="211">
        <f>SUMIFS('Input keuzevariabelen'!$H$11:$H$80,'Input keuzevariabelen'!$E$11:$E$80,Data!G46,'Input keuzevariabelen'!$J$11:$J$80,Data!D46)</f>
        <v>1890</v>
      </c>
      <c r="K46" s="148" t="str">
        <f>VLOOKUP(G46,'Input keuzevariabelen'!$E$11:$I$80,5,FALSE)</f>
        <v>gram CO2/m3</v>
      </c>
      <c r="L46" s="208">
        <f t="shared" si="20"/>
        <v>7395.668279999999</v>
      </c>
      <c r="M46" s="208">
        <f t="shared" si="21"/>
        <v>7.3956682799999998</v>
      </c>
      <c r="N46" s="148" t="s">
        <v>168</v>
      </c>
      <c r="O46" s="156" t="s">
        <v>101</v>
      </c>
      <c r="P46" s="156" t="s">
        <v>169</v>
      </c>
    </row>
    <row r="47" spans="2:17" ht="18" thickTop="1" thickBot="1" x14ac:dyDescent="0.25">
      <c r="B47" s="183"/>
      <c r="C47" s="183" t="s">
        <v>101</v>
      </c>
      <c r="D47" s="186">
        <v>2019</v>
      </c>
      <c r="E47" s="190" t="s">
        <v>16</v>
      </c>
      <c r="F47" s="147">
        <f>VLOOKUP(G47,'Input keuzevariabelen'!$E$11:$I$80,2,FALSE)</f>
        <v>2</v>
      </c>
      <c r="G47" s="156" t="s">
        <v>29</v>
      </c>
      <c r="H47" s="209">
        <f>323879*0.286</f>
        <v>92629.393999999986</v>
      </c>
      <c r="I47" s="148" t="str">
        <f>VLOOKUP(G47,'Input keuzevariabelen'!$E$11:$I$80,3,FALSE)</f>
        <v>kWh</v>
      </c>
      <c r="J47" s="211">
        <f>SUMIFS('Input keuzevariabelen'!$H$11:$H$80,'Input keuzevariabelen'!$E$11:$E$80,Data!G47,'Input keuzevariabelen'!$J$11:$J$80,Data!D47)</f>
        <v>649</v>
      </c>
      <c r="K47" s="148" t="str">
        <f>VLOOKUP(G47,'Input keuzevariabelen'!$E$11:$I$80,5,FALSE)</f>
        <v>gram CO2/kWh</v>
      </c>
      <c r="L47" s="208">
        <f t="shared" si="20"/>
        <v>60116.476705999994</v>
      </c>
      <c r="M47" s="208">
        <f t="shared" si="21"/>
        <v>60.116476705999993</v>
      </c>
      <c r="N47" s="148" t="s">
        <v>168</v>
      </c>
      <c r="O47" s="156" t="s">
        <v>101</v>
      </c>
      <c r="P47" s="156" t="s">
        <v>169</v>
      </c>
    </row>
    <row r="48" spans="2:17" s="48" customFormat="1" ht="18" thickTop="1" thickBot="1" x14ac:dyDescent="0.25">
      <c r="B48" s="183"/>
      <c r="C48" s="183" t="s">
        <v>111</v>
      </c>
      <c r="D48" s="186">
        <v>2019</v>
      </c>
      <c r="E48" s="187" t="s">
        <v>16</v>
      </c>
      <c r="F48" s="225">
        <f>VLOOKUP(G48,'[2]Input keuzevariabelen'!$E$11:$I$79,2,FALSE)</f>
        <v>1</v>
      </c>
      <c r="G48" s="156" t="s">
        <v>5</v>
      </c>
      <c r="H48" s="209">
        <f>121243*0.111</f>
        <v>13457.973</v>
      </c>
      <c r="I48" s="226" t="str">
        <f>VLOOKUP(G48,'[2]Input keuzevariabelen'!$E$11:$I$79,3,FALSE)</f>
        <v>m3</v>
      </c>
      <c r="J48" s="211">
        <f>SUMIFS('Input keuzevariabelen'!$H$11:$H$80,'Input keuzevariabelen'!$E$11:$E$80,Data!G48,'Input keuzevariabelen'!$J$11:$J$80,Data!D48)</f>
        <v>1890</v>
      </c>
      <c r="K48" s="226" t="str">
        <f>VLOOKUP(G48,'[2]Input keuzevariabelen'!$E$11:$I$79,5,FALSE)</f>
        <v>gram CO2/m3</v>
      </c>
      <c r="L48" s="227">
        <f t="shared" si="20"/>
        <v>25435.56897</v>
      </c>
      <c r="M48" s="227">
        <f t="shared" si="21"/>
        <v>25.435568969999999</v>
      </c>
      <c r="N48" s="156" t="s">
        <v>172</v>
      </c>
      <c r="O48" s="156" t="s">
        <v>111</v>
      </c>
      <c r="P48" s="156" t="s">
        <v>170</v>
      </c>
    </row>
    <row r="49" spans="2:16" s="48" customFormat="1" ht="18" thickTop="1" thickBot="1" x14ac:dyDescent="0.25">
      <c r="B49" s="183"/>
      <c r="C49" s="183" t="s">
        <v>111</v>
      </c>
      <c r="D49" s="186">
        <v>2019</v>
      </c>
      <c r="E49" s="187" t="s">
        <v>16</v>
      </c>
      <c r="F49" s="225">
        <f>VLOOKUP(G49,'[2]Input keuzevariabelen'!$E$11:$I$79,2,FALSE)</f>
        <v>2</v>
      </c>
      <c r="G49" s="156" t="s">
        <v>28</v>
      </c>
      <c r="H49" s="209">
        <f>1212372*0.111</f>
        <v>134573.29200000002</v>
      </c>
      <c r="I49" s="226" t="str">
        <f>VLOOKUP(G49,'[2]Input keuzevariabelen'!$E$11:$I$79,3,FALSE)</f>
        <v>kWh</v>
      </c>
      <c r="J49" s="211">
        <f>SUMIFS('Input keuzevariabelen'!$H$11:$H$80,'Input keuzevariabelen'!$E$11:$E$80,Data!G49,'Input keuzevariabelen'!$J$11:$J$80,Data!D49)</f>
        <v>0</v>
      </c>
      <c r="K49" s="226" t="str">
        <f>VLOOKUP(G49,'[2]Input keuzevariabelen'!$E$11:$I$79,5,FALSE)</f>
        <v>gram CO2/kWh</v>
      </c>
      <c r="L49" s="227">
        <f t="shared" si="20"/>
        <v>0</v>
      </c>
      <c r="M49" s="227">
        <f t="shared" si="21"/>
        <v>0</v>
      </c>
      <c r="N49" s="156" t="s">
        <v>172</v>
      </c>
      <c r="O49" s="156" t="s">
        <v>111</v>
      </c>
      <c r="P49" s="156" t="s">
        <v>170</v>
      </c>
    </row>
    <row r="50" spans="2:16" s="48" customFormat="1" ht="18" thickTop="1" thickBot="1" x14ac:dyDescent="0.25">
      <c r="B50" s="183"/>
      <c r="C50" s="183" t="s">
        <v>111</v>
      </c>
      <c r="D50" s="186">
        <v>2019</v>
      </c>
      <c r="E50" s="187" t="s">
        <v>16</v>
      </c>
      <c r="F50" s="225">
        <f>VLOOKUP(G50,'[2]Input keuzevariabelen'!$E$11:$I$79,2,FALSE)</f>
        <v>2</v>
      </c>
      <c r="G50" s="156" t="s">
        <v>97</v>
      </c>
      <c r="H50" s="209">
        <f>117*0.111</f>
        <v>12.987</v>
      </c>
      <c r="I50" s="226" t="str">
        <f>VLOOKUP(G50,'[2]Input keuzevariabelen'!$E$11:$I$79,3,FALSE)</f>
        <v>kWh</v>
      </c>
      <c r="J50" s="211">
        <f>SUMIFS('Input keuzevariabelen'!$H$11:$H$80,'Input keuzevariabelen'!$E$11:$E$80,Data!G50,'Input keuzevariabelen'!$J$11:$J$80,Data!D50)</f>
        <v>649</v>
      </c>
      <c r="K50" s="226" t="str">
        <f>VLOOKUP(G50,'[2]Input keuzevariabelen'!$E$11:$I$79,5,FALSE)</f>
        <v>gram CO2/kWh</v>
      </c>
      <c r="L50" s="227">
        <f t="shared" si="20"/>
        <v>8.4285630000000005</v>
      </c>
      <c r="M50" s="227">
        <f t="shared" si="21"/>
        <v>8.428563E-3</v>
      </c>
      <c r="N50" s="156" t="s">
        <v>172</v>
      </c>
      <c r="O50" s="156" t="s">
        <v>111</v>
      </c>
      <c r="P50" s="156" t="s">
        <v>170</v>
      </c>
    </row>
    <row r="51" spans="2:16" s="48" customFormat="1" ht="18" thickTop="1" thickBot="1" x14ac:dyDescent="0.25">
      <c r="B51" s="183"/>
      <c r="C51" s="183" t="s">
        <v>111</v>
      </c>
      <c r="D51" s="186">
        <v>2019</v>
      </c>
      <c r="E51" s="187" t="s">
        <v>16</v>
      </c>
      <c r="F51" s="225">
        <f>VLOOKUP(G51,'[2]Input keuzevariabelen'!$E$11:$I$79,2,FALSE)</f>
        <v>1</v>
      </c>
      <c r="G51" s="156" t="s">
        <v>81</v>
      </c>
      <c r="H51" s="209">
        <f>87942*0.111</f>
        <v>9761.5619999999999</v>
      </c>
      <c r="I51" s="226" t="str">
        <f>VLOOKUP(G51,'[2]Input keuzevariabelen'!$E$11:$I$79,3,FALSE)</f>
        <v>liter</v>
      </c>
      <c r="J51" s="211">
        <f>SUMIFS('Input keuzevariabelen'!$H$11:$H$80,'Input keuzevariabelen'!$E$11:$E$80,Data!G51,'Input keuzevariabelen'!$J$11:$J$80,Data!D51)</f>
        <v>3309</v>
      </c>
      <c r="K51" s="226" t="str">
        <f>VLOOKUP(G51,'[2]Input keuzevariabelen'!$E$11:$I$79,5,FALSE)</f>
        <v>gram CO2/liter</v>
      </c>
      <c r="L51" s="227">
        <f t="shared" si="20"/>
        <v>32301.008657999999</v>
      </c>
      <c r="M51" s="227">
        <f t="shared" si="21"/>
        <v>32.301008658000001</v>
      </c>
      <c r="N51" s="156" t="s">
        <v>171</v>
      </c>
      <c r="O51" s="156" t="s">
        <v>111</v>
      </c>
      <c r="P51" s="156" t="s">
        <v>170</v>
      </c>
    </row>
    <row r="52" spans="2:16" s="48" customFormat="1" ht="18" thickTop="1" thickBot="1" x14ac:dyDescent="0.25">
      <c r="B52" s="183"/>
      <c r="C52" s="183" t="s">
        <v>111</v>
      </c>
      <c r="D52" s="186">
        <v>2019</v>
      </c>
      <c r="E52" s="187" t="s">
        <v>16</v>
      </c>
      <c r="F52" s="225">
        <f>VLOOKUP(G52,'[2]Input keuzevariabelen'!$E$11:$I$79,2,FALSE)</f>
        <v>1</v>
      </c>
      <c r="G52" s="156" t="s">
        <v>82</v>
      </c>
      <c r="H52" s="209">
        <f>2682*0.111</f>
        <v>297.702</v>
      </c>
      <c r="I52" s="226" t="str">
        <f>VLOOKUP(G52,'[2]Input keuzevariabelen'!$E$11:$I$79,3,FALSE)</f>
        <v>liter</v>
      </c>
      <c r="J52" s="211">
        <f>SUMIFS('Input keuzevariabelen'!$H$11:$H$80,'Input keuzevariabelen'!$E$11:$E$80,Data!G52,'Input keuzevariabelen'!$J$11:$J$80,Data!D52)</f>
        <v>2884</v>
      </c>
      <c r="K52" s="226" t="str">
        <f>VLOOKUP(G52,'[2]Input keuzevariabelen'!$E$11:$I$79,5,FALSE)</f>
        <v>gram CO2/liter</v>
      </c>
      <c r="L52" s="227">
        <f t="shared" si="20"/>
        <v>858.57256799999993</v>
      </c>
      <c r="M52" s="227">
        <f t="shared" si="21"/>
        <v>0.85857256799999992</v>
      </c>
      <c r="N52" s="156" t="s">
        <v>171</v>
      </c>
      <c r="O52" s="156" t="s">
        <v>111</v>
      </c>
      <c r="P52" s="156" t="s">
        <v>170</v>
      </c>
    </row>
    <row r="53" spans="2:16" s="48" customFormat="1" ht="18" thickTop="1" thickBot="1" x14ac:dyDescent="0.25">
      <c r="B53" s="183"/>
      <c r="C53" s="183" t="s">
        <v>111</v>
      </c>
      <c r="D53" s="186">
        <v>2019</v>
      </c>
      <c r="E53" s="187" t="s">
        <v>16</v>
      </c>
      <c r="F53" s="225" t="str">
        <f>VLOOKUP(G53,'[2]Input keuzevariabelen'!$E$11:$I$79,2,FALSE)</f>
        <v>bt</v>
      </c>
      <c r="G53" s="156" t="s">
        <v>12</v>
      </c>
      <c r="H53" s="209">
        <f>(51572/0.19)*0.111</f>
        <v>30128.905263157896</v>
      </c>
      <c r="I53" s="226" t="str">
        <f>VLOOKUP(G53,'[2]Input keuzevariabelen'!$E$11:$I$79,3,FALSE)</f>
        <v>km</v>
      </c>
      <c r="J53" s="211">
        <f>SUMIFS('Input keuzevariabelen'!$H$11:$H$80,'Input keuzevariabelen'!$E$11:$E$80,Data!G53,'Input keuzevariabelen'!$J$11:$J$80,Data!D53)</f>
        <v>220</v>
      </c>
      <c r="K53" s="226" t="str">
        <f>VLOOKUP(G53,'[2]Input keuzevariabelen'!$E$11:$I$79,5,FALSE)</f>
        <v>gram CO2/km</v>
      </c>
      <c r="L53" s="227">
        <f t="shared" si="20"/>
        <v>6628.3591578947371</v>
      </c>
      <c r="M53" s="227">
        <f t="shared" si="21"/>
        <v>6.628359157894737</v>
      </c>
      <c r="N53" s="156" t="s">
        <v>172</v>
      </c>
      <c r="O53" s="156" t="s">
        <v>111</v>
      </c>
      <c r="P53" s="156" t="s">
        <v>170</v>
      </c>
    </row>
    <row r="54" spans="2:16" s="48" customFormat="1" ht="18" thickTop="1" thickBot="1" x14ac:dyDescent="0.25">
      <c r="B54" s="183"/>
      <c r="C54" s="183" t="s">
        <v>111</v>
      </c>
      <c r="D54" s="186">
        <v>2019</v>
      </c>
      <c r="E54" s="187" t="s">
        <v>16</v>
      </c>
      <c r="F54" s="225" t="str">
        <f>VLOOKUP(G54,'[2]Input keuzevariabelen'!$E$11:$I$79,2,FALSE)</f>
        <v>bt</v>
      </c>
      <c r="G54" s="156" t="s">
        <v>77</v>
      </c>
      <c r="H54" s="209">
        <f>(687/0.15)*0.111</f>
        <v>508.38</v>
      </c>
      <c r="I54" s="226" t="str">
        <f>VLOOKUP(G54,'[2]Input keuzevariabelen'!$E$11:$I$79,3,FALSE)</f>
        <v>km</v>
      </c>
      <c r="J54" s="211">
        <f>SUMIFS('Input keuzevariabelen'!$H$11:$H$80,'Input keuzevariabelen'!$E$11:$E$80,Data!G54,'Input keuzevariabelen'!$J$11:$J$80,Data!D54)</f>
        <v>36</v>
      </c>
      <c r="K54" s="226" t="str">
        <f>VLOOKUP(G54,'[2]Input keuzevariabelen'!$E$11:$I$79,5,FALSE)</f>
        <v>gram CO2/km</v>
      </c>
      <c r="L54" s="227">
        <f t="shared" si="20"/>
        <v>18.301680000000001</v>
      </c>
      <c r="M54" s="227">
        <f t="shared" si="21"/>
        <v>1.8301680000000001E-2</v>
      </c>
      <c r="N54" s="156" t="s">
        <v>172</v>
      </c>
      <c r="O54" s="156" t="s">
        <v>111</v>
      </c>
      <c r="P54" s="156" t="s">
        <v>170</v>
      </c>
    </row>
    <row r="55" spans="2:16" ht="18" thickTop="1" thickBot="1" x14ac:dyDescent="0.25">
      <c r="B55" s="183"/>
      <c r="C55" s="224"/>
      <c r="D55" s="186"/>
      <c r="E55" s="190"/>
      <c r="F55" s="147"/>
      <c r="G55" s="156"/>
      <c r="H55" s="209"/>
      <c r="I55" s="148"/>
      <c r="J55" s="211"/>
      <c r="K55" s="148"/>
      <c r="L55" s="208"/>
      <c r="M55" s="208"/>
      <c r="N55" s="148"/>
      <c r="O55" s="150"/>
      <c r="P55" s="157"/>
    </row>
    <row r="56" spans="2:16" ht="18" thickTop="1" thickBot="1" x14ac:dyDescent="0.25">
      <c r="B56" s="183" t="s">
        <v>127</v>
      </c>
      <c r="C56" s="189"/>
      <c r="D56" s="156">
        <v>2020</v>
      </c>
      <c r="E56" s="190" t="s">
        <v>16</v>
      </c>
      <c r="F56" s="147" t="str">
        <f>VLOOKUP(G56,'Input keuzevariabelen'!$E$11:$I$80,2,FALSE)</f>
        <v>KPI</v>
      </c>
      <c r="G56" s="156" t="s">
        <v>94</v>
      </c>
      <c r="H56" s="209">
        <v>687865.23699999996</v>
      </c>
      <c r="I56" s="148">
        <f>VLOOKUP(G56,'Input keuzevariabelen'!$E$11:$I$80,3,FALSE)</f>
        <v>0</v>
      </c>
      <c r="J56" s="211">
        <f>SUMIFS('Input keuzevariabelen'!$H$11:$H$80,'Input keuzevariabelen'!$E$11:$E$80,Data!G56,'Input keuzevariabelen'!$J$11:$J$80,Data!D56)</f>
        <v>0</v>
      </c>
      <c r="K56" s="148">
        <f>VLOOKUP(G56,'Input keuzevariabelen'!$E$11:$I$80,5,FALSE)</f>
        <v>0</v>
      </c>
      <c r="L56" s="208">
        <f t="shared" si="0"/>
        <v>0</v>
      </c>
      <c r="M56" s="208">
        <f t="shared" si="1"/>
        <v>0</v>
      </c>
      <c r="N56" s="156" t="s">
        <v>176</v>
      </c>
      <c r="O56" s="150"/>
      <c r="P56" s="157" t="s">
        <v>128</v>
      </c>
    </row>
    <row r="57" spans="2:16" ht="18" thickTop="1" thickBot="1" x14ac:dyDescent="0.25">
      <c r="B57" s="183" t="s">
        <v>127</v>
      </c>
      <c r="C57" s="189"/>
      <c r="D57" s="156">
        <v>2020</v>
      </c>
      <c r="E57" s="190" t="s">
        <v>16</v>
      </c>
      <c r="F57" s="147" t="str">
        <f>VLOOKUP(G57,'Input keuzevariabelen'!$E$11:$I$80,2,FALSE)</f>
        <v>KPI</v>
      </c>
      <c r="G57" s="156" t="s">
        <v>95</v>
      </c>
      <c r="H57" s="209">
        <v>1718.9390000000001</v>
      </c>
      <c r="I57" s="148">
        <f>VLOOKUP(G57,'Input keuzevariabelen'!$E$11:$I$80,3,FALSE)</f>
        <v>0</v>
      </c>
      <c r="J57" s="211">
        <f>SUMIFS('Input keuzevariabelen'!$H$11:$H$80,'Input keuzevariabelen'!$E$11:$E$80,Data!G57,'Input keuzevariabelen'!$J$11:$J$80,Data!D57)</f>
        <v>0</v>
      </c>
      <c r="K57" s="148">
        <f>VLOOKUP(G57,'Input keuzevariabelen'!$E$11:$I$80,5,FALSE)</f>
        <v>0</v>
      </c>
      <c r="L57" s="208">
        <f t="shared" si="0"/>
        <v>0</v>
      </c>
      <c r="M57" s="208">
        <f t="shared" si="1"/>
        <v>0</v>
      </c>
      <c r="N57" s="156" t="s">
        <v>176</v>
      </c>
      <c r="O57" s="150"/>
      <c r="P57" s="157" t="s">
        <v>129</v>
      </c>
    </row>
    <row r="58" spans="2:16" ht="18" thickTop="1" thickBot="1" x14ac:dyDescent="0.25">
      <c r="B58" s="183" t="s">
        <v>127</v>
      </c>
      <c r="C58" s="189"/>
      <c r="D58" s="156">
        <v>2020</v>
      </c>
      <c r="E58" s="190" t="s">
        <v>16</v>
      </c>
      <c r="F58" s="147" t="str">
        <f>VLOOKUP(G58,'Input keuzevariabelen'!$E$11:$I$80,2,FALSE)</f>
        <v>KPI</v>
      </c>
      <c r="G58" s="156" t="s">
        <v>96</v>
      </c>
      <c r="H58" s="209">
        <v>19.866</v>
      </c>
      <c r="I58" s="148">
        <f>VLOOKUP(G58,'Input keuzevariabelen'!$E$11:$I$80,3,FALSE)</f>
        <v>0</v>
      </c>
      <c r="J58" s="211">
        <f>SUMIFS('Input keuzevariabelen'!$H$11:$H$80,'Input keuzevariabelen'!$E$11:$E$80,Data!G58,'Input keuzevariabelen'!$J$11:$J$80,Data!D58)</f>
        <v>0</v>
      </c>
      <c r="K58" s="148">
        <f>VLOOKUP(G58,'Input keuzevariabelen'!$E$11:$I$80,5,FALSE)</f>
        <v>0</v>
      </c>
      <c r="L58" s="208">
        <f t="shared" ref="L58" si="22">H58*J58/1000</f>
        <v>0</v>
      </c>
      <c r="M58" s="208">
        <f t="shared" ref="M58" si="23">H58*J58/1000000</f>
        <v>0</v>
      </c>
      <c r="N58" s="156" t="s">
        <v>176</v>
      </c>
      <c r="O58" s="150"/>
      <c r="P58" s="157" t="s">
        <v>150</v>
      </c>
    </row>
    <row r="59" spans="2:16" ht="18" thickTop="1" thickBot="1" x14ac:dyDescent="0.25">
      <c r="B59" s="183" t="s">
        <v>127</v>
      </c>
      <c r="C59" s="189"/>
      <c r="D59" s="156">
        <v>2020</v>
      </c>
      <c r="E59" s="190" t="s">
        <v>16</v>
      </c>
      <c r="F59" s="147" t="str">
        <f>VLOOKUP(G59,'Input keuzevariabelen'!$E$11:$I$80,2,FALSE)</f>
        <v>KPI</v>
      </c>
      <c r="G59" s="156" t="s">
        <v>226</v>
      </c>
      <c r="H59" s="209">
        <f>153871840/1000</f>
        <v>153871.84</v>
      </c>
      <c r="I59" s="148">
        <f>VLOOKUP(G59,'Input keuzevariabelen'!$E$11:$I$80,3,FALSE)</f>
        <v>0</v>
      </c>
      <c r="J59" s="211">
        <f>SUMIFS('Input keuzevariabelen'!$H$11:$H$80,'Input keuzevariabelen'!$E$11:$E$80,Data!G59,'Input keuzevariabelen'!$J$11:$J$80,Data!D59)</f>
        <v>0</v>
      </c>
      <c r="K59" s="148">
        <f>VLOOKUP(G59,'Input keuzevariabelen'!$E$11:$I$80,5,FALSE)</f>
        <v>0</v>
      </c>
      <c r="L59" s="208">
        <f t="shared" si="0"/>
        <v>0</v>
      </c>
      <c r="M59" s="208">
        <f t="shared" si="1"/>
        <v>0</v>
      </c>
      <c r="N59" s="156" t="s">
        <v>227</v>
      </c>
      <c r="O59" s="150"/>
      <c r="P59" s="157"/>
    </row>
    <row r="60" spans="2:16" ht="18" thickTop="1" thickBot="1" x14ac:dyDescent="0.25">
      <c r="B60" s="183" t="s">
        <v>127</v>
      </c>
      <c r="C60" s="189" t="s">
        <v>117</v>
      </c>
      <c r="D60" s="156">
        <v>2020</v>
      </c>
      <c r="E60" s="190" t="s">
        <v>16</v>
      </c>
      <c r="F60" s="147">
        <f>VLOOKUP(G60,'Input keuzevariabelen'!$E$11:$I$80,2,FALSE)</f>
        <v>2</v>
      </c>
      <c r="G60" s="156" t="s">
        <v>28</v>
      </c>
      <c r="H60" s="209">
        <v>6160827</v>
      </c>
      <c r="I60" s="148" t="str">
        <f>VLOOKUP(G60,'Input keuzevariabelen'!$E$11:$I$80,3,FALSE)</f>
        <v>kWh</v>
      </c>
      <c r="J60" s="211">
        <f>SUMIFS('Input keuzevariabelen'!$H$11:$H$80,'Input keuzevariabelen'!$E$11:$E$80,Data!G60,'Input keuzevariabelen'!$J$11:$J$80,Data!D60)</f>
        <v>0</v>
      </c>
      <c r="K60" s="148" t="str">
        <f>VLOOKUP(G60,'Input keuzevariabelen'!$E$11:$I$80,5,FALSE)</f>
        <v>gram CO2/kWh</v>
      </c>
      <c r="L60" s="208">
        <f t="shared" si="0"/>
        <v>0</v>
      </c>
      <c r="M60" s="208">
        <f t="shared" si="1"/>
        <v>0</v>
      </c>
      <c r="N60" s="156" t="s">
        <v>176</v>
      </c>
      <c r="O60" s="150" t="s">
        <v>117</v>
      </c>
      <c r="P60" s="157" t="s">
        <v>141</v>
      </c>
    </row>
    <row r="61" spans="2:16" ht="18" thickTop="1" thickBot="1" x14ac:dyDescent="0.25">
      <c r="B61" s="183" t="s">
        <v>127</v>
      </c>
      <c r="C61" s="189" t="s">
        <v>126</v>
      </c>
      <c r="D61" s="156">
        <v>2020</v>
      </c>
      <c r="E61" s="190" t="s">
        <v>16</v>
      </c>
      <c r="F61" s="147">
        <f>VLOOKUP(G61,'Input keuzevariabelen'!$E$11:$I$80,2,FALSE)</f>
        <v>2</v>
      </c>
      <c r="G61" s="156" t="s">
        <v>28</v>
      </c>
      <c r="H61" s="209">
        <v>451101</v>
      </c>
      <c r="I61" s="148" t="str">
        <f>VLOOKUP(G61,'Input keuzevariabelen'!$E$11:$I$80,3,FALSE)</f>
        <v>kWh</v>
      </c>
      <c r="J61" s="211">
        <f>SUMIFS('Input keuzevariabelen'!$H$11:$H$80,'Input keuzevariabelen'!$E$11:$E$80,Data!G61,'Input keuzevariabelen'!$J$11:$J$80,Data!D61)</f>
        <v>0</v>
      </c>
      <c r="K61" s="148" t="str">
        <f>VLOOKUP(G61,'Input keuzevariabelen'!$E$11:$I$80,5,FALSE)</f>
        <v>gram CO2/kWh</v>
      </c>
      <c r="L61" s="208">
        <f t="shared" si="0"/>
        <v>0</v>
      </c>
      <c r="M61" s="208">
        <f t="shared" si="1"/>
        <v>0</v>
      </c>
      <c r="N61" s="156" t="s">
        <v>176</v>
      </c>
      <c r="O61" s="153" t="s">
        <v>126</v>
      </c>
      <c r="P61" s="157" t="s">
        <v>141</v>
      </c>
    </row>
    <row r="62" spans="2:16" ht="18" thickTop="1" thickBot="1" x14ac:dyDescent="0.25">
      <c r="B62" s="183" t="s">
        <v>127</v>
      </c>
      <c r="C62" s="189" t="s">
        <v>125</v>
      </c>
      <c r="D62" s="156">
        <v>2020</v>
      </c>
      <c r="E62" s="190" t="s">
        <v>16</v>
      </c>
      <c r="F62" s="147">
        <f>VLOOKUP(G62,'Input keuzevariabelen'!$E$11:$I$80,2,FALSE)</f>
        <v>2</v>
      </c>
      <c r="G62" s="156" t="s">
        <v>28</v>
      </c>
      <c r="H62" s="209">
        <v>2451325</v>
      </c>
      <c r="I62" s="148" t="str">
        <f>VLOOKUP(G62,'Input keuzevariabelen'!$E$11:$I$80,3,FALSE)</f>
        <v>kWh</v>
      </c>
      <c r="J62" s="211">
        <f>SUMIFS('Input keuzevariabelen'!$H$11:$H$80,'Input keuzevariabelen'!$E$11:$E$80,Data!G62,'Input keuzevariabelen'!$J$11:$J$80,Data!D62)</f>
        <v>0</v>
      </c>
      <c r="K62" s="148" t="str">
        <f>VLOOKUP(G62,'Input keuzevariabelen'!$E$11:$I$80,5,FALSE)</f>
        <v>gram CO2/kWh</v>
      </c>
      <c r="L62" s="208">
        <f t="shared" si="0"/>
        <v>0</v>
      </c>
      <c r="M62" s="208">
        <f t="shared" si="1"/>
        <v>0</v>
      </c>
      <c r="N62" s="156" t="s">
        <v>176</v>
      </c>
      <c r="O62" s="153" t="s">
        <v>131</v>
      </c>
      <c r="P62" s="157" t="s">
        <v>141</v>
      </c>
    </row>
    <row r="63" spans="2:16" ht="18" thickTop="1" thickBot="1" x14ac:dyDescent="0.25">
      <c r="B63" s="183" t="s">
        <v>127</v>
      </c>
      <c r="C63" s="189" t="s">
        <v>125</v>
      </c>
      <c r="D63" s="156">
        <v>2020</v>
      </c>
      <c r="E63" s="190" t="s">
        <v>16</v>
      </c>
      <c r="F63" s="147">
        <f>VLOOKUP(G63,'Input keuzevariabelen'!$E$11:$I$80,2,FALSE)</f>
        <v>2</v>
      </c>
      <c r="G63" s="156" t="s">
        <v>29</v>
      </c>
      <c r="H63" s="228">
        <v>9641890</v>
      </c>
      <c r="I63" s="148" t="str">
        <f>VLOOKUP(G63,'Input keuzevariabelen'!$E$11:$I$80,3,FALSE)</f>
        <v>kWh</v>
      </c>
      <c r="J63" s="211">
        <f>SUMIFS('Input keuzevariabelen'!$H$11:$H$80,'Input keuzevariabelen'!$E$11:$E$80,Data!G63,'Input keuzevariabelen'!$J$11:$J$80,Data!D63)</f>
        <v>556</v>
      </c>
      <c r="K63" s="148" t="str">
        <f>VLOOKUP(G63,'Input keuzevariabelen'!$E$11:$I$80,5,FALSE)</f>
        <v>gram CO2/kWh</v>
      </c>
      <c r="L63" s="208">
        <f t="shared" si="0"/>
        <v>5360890.84</v>
      </c>
      <c r="M63" s="208">
        <f t="shared" si="1"/>
        <v>5360.89084</v>
      </c>
      <c r="N63" s="156" t="s">
        <v>176</v>
      </c>
      <c r="O63" s="156" t="s">
        <v>133</v>
      </c>
      <c r="P63" s="157" t="s">
        <v>213</v>
      </c>
    </row>
    <row r="64" spans="2:16" ht="18" thickTop="1" thickBot="1" x14ac:dyDescent="0.25">
      <c r="B64" s="183" t="s">
        <v>127</v>
      </c>
      <c r="C64" s="189" t="s">
        <v>125</v>
      </c>
      <c r="D64" s="156">
        <v>2020</v>
      </c>
      <c r="E64" s="190" t="s">
        <v>16</v>
      </c>
      <c r="F64" s="147">
        <f>VLOOKUP(G64,'Input keuzevariabelen'!$E$11:$I$80,2,FALSE)</f>
        <v>2</v>
      </c>
      <c r="G64" s="156" t="s">
        <v>28</v>
      </c>
      <c r="H64" s="209">
        <v>8914312</v>
      </c>
      <c r="I64" s="148" t="str">
        <f>VLOOKUP(G64,'Input keuzevariabelen'!$E$11:$I$80,3,FALSE)</f>
        <v>kWh</v>
      </c>
      <c r="J64" s="211">
        <f>SUMIFS('Input keuzevariabelen'!$H$11:$H$80,'Input keuzevariabelen'!$E$11:$E$80,Data!G64,'Input keuzevariabelen'!$J$11:$J$80,Data!D64)</f>
        <v>0</v>
      </c>
      <c r="K64" s="148" t="str">
        <f>VLOOKUP(G64,'Input keuzevariabelen'!$E$11:$I$80,5,FALSE)</f>
        <v>gram CO2/kWh</v>
      </c>
      <c r="L64" s="208">
        <f t="shared" si="0"/>
        <v>0</v>
      </c>
      <c r="M64" s="208">
        <f t="shared" si="1"/>
        <v>0</v>
      </c>
      <c r="N64" s="156" t="s">
        <v>176</v>
      </c>
      <c r="O64" s="156" t="s">
        <v>134</v>
      </c>
      <c r="P64" s="157" t="s">
        <v>141</v>
      </c>
    </row>
    <row r="65" spans="2:16" ht="18" thickTop="1" thickBot="1" x14ac:dyDescent="0.25">
      <c r="B65" s="183" t="s">
        <v>127</v>
      </c>
      <c r="C65" s="189" t="s">
        <v>125</v>
      </c>
      <c r="D65" s="156">
        <v>2020</v>
      </c>
      <c r="E65" s="190" t="s">
        <v>16</v>
      </c>
      <c r="F65" s="147">
        <f>VLOOKUP(G65,'Input keuzevariabelen'!$E$11:$I$80,2,FALSE)</f>
        <v>2</v>
      </c>
      <c r="G65" s="156" t="s">
        <v>29</v>
      </c>
      <c r="H65" s="228">
        <v>36219336</v>
      </c>
      <c r="I65" s="148" t="str">
        <f>VLOOKUP(G65,'Input keuzevariabelen'!$E$11:$I$80,3,FALSE)</f>
        <v>kWh</v>
      </c>
      <c r="J65" s="211">
        <f>SUMIFS('Input keuzevariabelen'!$H$11:$H$80,'Input keuzevariabelen'!$E$11:$E$80,Data!G65,'Input keuzevariabelen'!$J$11:$J$80,Data!D65)</f>
        <v>556</v>
      </c>
      <c r="K65" s="148" t="str">
        <f>VLOOKUP(G65,'Input keuzevariabelen'!$E$11:$I$80,5,FALSE)</f>
        <v>gram CO2/kWh</v>
      </c>
      <c r="L65" s="208">
        <f t="shared" ref="L65" si="24">H65*J65/1000</f>
        <v>20137950.816</v>
      </c>
      <c r="M65" s="208">
        <f t="shared" ref="M65" si="25">H65*J65/1000000</f>
        <v>20137.950816</v>
      </c>
      <c r="N65" s="156" t="s">
        <v>176</v>
      </c>
      <c r="O65" s="153" t="s">
        <v>135</v>
      </c>
      <c r="P65" s="157" t="s">
        <v>213</v>
      </c>
    </row>
    <row r="66" spans="2:16" ht="18" thickTop="1" thickBot="1" x14ac:dyDescent="0.25">
      <c r="B66" s="183" t="s">
        <v>127</v>
      </c>
      <c r="C66" s="189" t="s">
        <v>125</v>
      </c>
      <c r="D66" s="156">
        <v>2020</v>
      </c>
      <c r="E66" s="190" t="s">
        <v>16</v>
      </c>
      <c r="F66" s="147">
        <f>VLOOKUP(G66,'Input keuzevariabelen'!$E$11:$I$80,2,FALSE)</f>
        <v>2</v>
      </c>
      <c r="G66" s="156" t="s">
        <v>28</v>
      </c>
      <c r="H66" s="209">
        <v>7408</v>
      </c>
      <c r="I66" s="148" t="str">
        <f>VLOOKUP(G66,'Input keuzevariabelen'!$E$11:$I$80,3,FALSE)</f>
        <v>kWh</v>
      </c>
      <c r="J66" s="211">
        <f>SUMIFS('Input keuzevariabelen'!$H$11:$H$80,'Input keuzevariabelen'!$E$11:$E$80,Data!G66,'Input keuzevariabelen'!$J$11:$J$80,Data!D66)</f>
        <v>0</v>
      </c>
      <c r="K66" s="148" t="str">
        <f>VLOOKUP(G66,'Input keuzevariabelen'!$E$11:$I$80,5,FALSE)</f>
        <v>gram CO2/kWh</v>
      </c>
      <c r="L66" s="208">
        <f t="shared" si="0"/>
        <v>0</v>
      </c>
      <c r="M66" s="208">
        <f t="shared" si="1"/>
        <v>0</v>
      </c>
      <c r="N66" s="156" t="s">
        <v>176</v>
      </c>
      <c r="O66" s="153" t="s">
        <v>135</v>
      </c>
      <c r="P66" s="157" t="s">
        <v>151</v>
      </c>
    </row>
    <row r="67" spans="2:16" ht="18" thickTop="1" thickBot="1" x14ac:dyDescent="0.25">
      <c r="B67" s="183" t="s">
        <v>127</v>
      </c>
      <c r="C67" s="189" t="s">
        <v>117</v>
      </c>
      <c r="D67" s="156">
        <v>2020</v>
      </c>
      <c r="E67" s="190" t="s">
        <v>16</v>
      </c>
      <c r="F67" s="147">
        <f>VLOOKUP(G67,'Input keuzevariabelen'!$E$11:$I$80,2,FALSE)</f>
        <v>1</v>
      </c>
      <c r="G67" s="156" t="s">
        <v>5</v>
      </c>
      <c r="H67" s="209">
        <v>19840</v>
      </c>
      <c r="I67" s="148" t="str">
        <f>VLOOKUP(G67,'Input keuzevariabelen'!$E$11:$I$80,3,FALSE)</f>
        <v>m3</v>
      </c>
      <c r="J67" s="211">
        <f>SUMIFS('Input keuzevariabelen'!$H$11:$H$80,'Input keuzevariabelen'!$E$11:$E$80,Data!G67,'Input keuzevariabelen'!$J$11:$J$80,Data!D67)</f>
        <v>1884</v>
      </c>
      <c r="K67" s="148" t="str">
        <f>VLOOKUP(G67,'Input keuzevariabelen'!$E$11:$I$80,5,FALSE)</f>
        <v>gram CO2/m3</v>
      </c>
      <c r="L67" s="208">
        <f t="shared" si="0"/>
        <v>37378.559999999998</v>
      </c>
      <c r="M67" s="208">
        <f t="shared" si="1"/>
        <v>37.37856</v>
      </c>
      <c r="N67" s="156" t="s">
        <v>176</v>
      </c>
      <c r="O67" s="153" t="s">
        <v>117</v>
      </c>
      <c r="P67" s="157" t="s">
        <v>137</v>
      </c>
    </row>
    <row r="68" spans="2:16" ht="18" thickTop="1" thickBot="1" x14ac:dyDescent="0.25">
      <c r="B68" s="183" t="s">
        <v>127</v>
      </c>
      <c r="C68" s="189" t="s">
        <v>126</v>
      </c>
      <c r="D68" s="156">
        <v>2020</v>
      </c>
      <c r="E68" s="190" t="s">
        <v>16</v>
      </c>
      <c r="F68" s="147">
        <f>VLOOKUP(G68,'Input keuzevariabelen'!$E$11:$I$80,2,FALSE)</f>
        <v>1</v>
      </c>
      <c r="G68" s="156" t="s">
        <v>5</v>
      </c>
      <c r="H68" s="209">
        <v>58378</v>
      </c>
      <c r="I68" s="148" t="str">
        <f>VLOOKUP(G68,'Input keuzevariabelen'!$E$11:$I$80,3,FALSE)</f>
        <v>m3</v>
      </c>
      <c r="J68" s="211">
        <f>SUMIFS('Input keuzevariabelen'!$H$11:$H$80,'Input keuzevariabelen'!$E$11:$E$80,Data!G68,'Input keuzevariabelen'!$J$11:$J$80,Data!D68)</f>
        <v>1884</v>
      </c>
      <c r="K68" s="148" t="str">
        <f>VLOOKUP(G68,'Input keuzevariabelen'!$E$11:$I$80,5,FALSE)</f>
        <v>gram CO2/m3</v>
      </c>
      <c r="L68" s="208">
        <f t="shared" ref="L68:L70" si="26">H68*J68/1000</f>
        <v>109984.152</v>
      </c>
      <c r="M68" s="208">
        <f t="shared" ref="M68:M70" si="27">H68*J68/1000000</f>
        <v>109.98415199999999</v>
      </c>
      <c r="N68" s="156" t="s">
        <v>176</v>
      </c>
      <c r="O68" s="153" t="s">
        <v>126</v>
      </c>
      <c r="P68" s="157" t="s">
        <v>137</v>
      </c>
    </row>
    <row r="69" spans="2:16" ht="18" thickTop="1" thickBot="1" x14ac:dyDescent="0.25">
      <c r="B69" s="183" t="s">
        <v>127</v>
      </c>
      <c r="C69" s="189" t="s">
        <v>125</v>
      </c>
      <c r="D69" s="156">
        <v>2020</v>
      </c>
      <c r="E69" s="190" t="s">
        <v>16</v>
      </c>
      <c r="F69" s="147">
        <f>VLOOKUP(G69,'Input keuzevariabelen'!$E$11:$I$80,2,FALSE)</f>
        <v>1</v>
      </c>
      <c r="G69" s="156" t="s">
        <v>5</v>
      </c>
      <c r="H69" s="209">
        <v>11050</v>
      </c>
      <c r="I69" s="148" t="str">
        <f>VLOOKUP(G69,'Input keuzevariabelen'!$E$11:$I$80,3,FALSE)</f>
        <v>m3</v>
      </c>
      <c r="J69" s="211">
        <f>SUMIFS('Input keuzevariabelen'!$H$11:$H$80,'Input keuzevariabelen'!$E$11:$E$80,Data!G69,'Input keuzevariabelen'!$J$11:$J$80,Data!D69)</f>
        <v>1884</v>
      </c>
      <c r="K69" s="148" t="str">
        <f>VLOOKUP(G69,'Input keuzevariabelen'!$E$11:$I$80,5,FALSE)</f>
        <v>gram CO2/m3</v>
      </c>
      <c r="L69" s="208">
        <f t="shared" si="26"/>
        <v>20818.2</v>
      </c>
      <c r="M69" s="208">
        <f t="shared" si="27"/>
        <v>20.818200000000001</v>
      </c>
      <c r="N69" s="156" t="s">
        <v>176</v>
      </c>
      <c r="O69" s="148" t="s">
        <v>131</v>
      </c>
      <c r="P69" s="157" t="s">
        <v>137</v>
      </c>
    </row>
    <row r="70" spans="2:16" ht="18" thickTop="1" thickBot="1" x14ac:dyDescent="0.25">
      <c r="B70" s="183" t="s">
        <v>127</v>
      </c>
      <c r="C70" s="189" t="s">
        <v>125</v>
      </c>
      <c r="D70" s="156">
        <v>2020</v>
      </c>
      <c r="E70" s="190" t="s">
        <v>16</v>
      </c>
      <c r="F70" s="147">
        <f>VLOOKUP(G70,'Input keuzevariabelen'!$E$11:$I$80,2,FALSE)</f>
        <v>1</v>
      </c>
      <c r="G70" s="156" t="s">
        <v>5</v>
      </c>
      <c r="H70" s="209">
        <v>40029</v>
      </c>
      <c r="I70" s="148" t="str">
        <f>VLOOKUP(G70,'Input keuzevariabelen'!$E$11:$I$80,3,FALSE)</f>
        <v>m3</v>
      </c>
      <c r="J70" s="211">
        <f>SUMIFS('Input keuzevariabelen'!$H$11:$H$80,'Input keuzevariabelen'!$E$11:$E$80,Data!G70,'Input keuzevariabelen'!$J$11:$J$80,Data!D70)</f>
        <v>1884</v>
      </c>
      <c r="K70" s="148" t="str">
        <f>VLOOKUP(G70,'Input keuzevariabelen'!$E$11:$I$80,5,FALSE)</f>
        <v>gram CO2/m3</v>
      </c>
      <c r="L70" s="208">
        <f t="shared" si="26"/>
        <v>75414.635999999999</v>
      </c>
      <c r="M70" s="208">
        <f t="shared" si="27"/>
        <v>75.414636000000002</v>
      </c>
      <c r="N70" s="156" t="s">
        <v>176</v>
      </c>
      <c r="O70" s="153" t="s">
        <v>133</v>
      </c>
      <c r="P70" s="157" t="s">
        <v>137</v>
      </c>
    </row>
    <row r="71" spans="2:16" ht="18" thickTop="1" thickBot="1" x14ac:dyDescent="0.25">
      <c r="B71" s="183" t="s">
        <v>127</v>
      </c>
      <c r="C71" s="189" t="s">
        <v>125</v>
      </c>
      <c r="D71" s="156">
        <v>2020</v>
      </c>
      <c r="E71" s="190" t="s">
        <v>16</v>
      </c>
      <c r="F71" s="147">
        <f>VLOOKUP(G71,'Input keuzevariabelen'!$E$11:$I$80,2,FALSE)</f>
        <v>1</v>
      </c>
      <c r="G71" s="156" t="s">
        <v>5</v>
      </c>
      <c r="H71" s="209">
        <v>447554</v>
      </c>
      <c r="I71" s="148" t="str">
        <f>VLOOKUP(G71,'Input keuzevariabelen'!$E$11:$I$80,3,FALSE)</f>
        <v>m3</v>
      </c>
      <c r="J71" s="211">
        <f>SUMIFS('Input keuzevariabelen'!$H$11:$H$80,'Input keuzevariabelen'!$E$11:$E$80,Data!G71,'Input keuzevariabelen'!$J$11:$J$80,Data!D71)</f>
        <v>1884</v>
      </c>
      <c r="K71" s="148" t="str">
        <f>VLOOKUP(G71,'Input keuzevariabelen'!$E$11:$I$80,5,FALSE)</f>
        <v>gram CO2/m3</v>
      </c>
      <c r="L71" s="208">
        <f t="shared" si="0"/>
        <v>843191.73600000003</v>
      </c>
      <c r="M71" s="208">
        <f t="shared" si="1"/>
        <v>843.19173599999999</v>
      </c>
      <c r="N71" s="156" t="s">
        <v>176</v>
      </c>
      <c r="O71" s="153" t="s">
        <v>134</v>
      </c>
      <c r="P71" s="157" t="s">
        <v>137</v>
      </c>
    </row>
    <row r="72" spans="2:16" ht="18" thickTop="1" thickBot="1" x14ac:dyDescent="0.25">
      <c r="B72" s="183" t="s">
        <v>127</v>
      </c>
      <c r="C72" s="189" t="s">
        <v>125</v>
      </c>
      <c r="D72" s="156">
        <v>2020</v>
      </c>
      <c r="E72" s="190" t="s">
        <v>16</v>
      </c>
      <c r="F72" s="147">
        <f>VLOOKUP(G72,'Input keuzevariabelen'!$E$11:$I$80,2,FALSE)</f>
        <v>1</v>
      </c>
      <c r="G72" s="156" t="s">
        <v>5</v>
      </c>
      <c r="H72" s="209">
        <v>924165</v>
      </c>
      <c r="I72" s="148" t="str">
        <f>VLOOKUP(G72,'Input keuzevariabelen'!$E$11:$I$80,3,FALSE)</f>
        <v>m3</v>
      </c>
      <c r="J72" s="211">
        <f>SUMIFS('Input keuzevariabelen'!$H$11:$H$80,'Input keuzevariabelen'!$E$11:$E$80,Data!G72,'Input keuzevariabelen'!$J$11:$J$80,Data!D72)</f>
        <v>1884</v>
      </c>
      <c r="K72" s="148" t="str">
        <f>VLOOKUP(G72,'Input keuzevariabelen'!$E$11:$I$80,5,FALSE)</f>
        <v>gram CO2/m3</v>
      </c>
      <c r="L72" s="208">
        <f t="shared" si="0"/>
        <v>1741126.86</v>
      </c>
      <c r="M72" s="208">
        <f t="shared" si="1"/>
        <v>1741.1268600000001</v>
      </c>
      <c r="N72" s="156" t="s">
        <v>176</v>
      </c>
      <c r="O72" s="148" t="s">
        <v>135</v>
      </c>
      <c r="P72" s="157" t="s">
        <v>137</v>
      </c>
    </row>
    <row r="73" spans="2:16" ht="18" thickTop="1" thickBot="1" x14ac:dyDescent="0.25">
      <c r="B73" s="183" t="s">
        <v>127</v>
      </c>
      <c r="C73" s="189" t="s">
        <v>125</v>
      </c>
      <c r="D73" s="156">
        <v>2020</v>
      </c>
      <c r="E73" s="190" t="s">
        <v>16</v>
      </c>
      <c r="F73" s="147" t="str">
        <f>VLOOKUP(G73,'Input keuzevariabelen'!$E$11:$I$80,2,FALSE)</f>
        <v>Memo</v>
      </c>
      <c r="G73" s="156" t="s">
        <v>108</v>
      </c>
      <c r="H73" s="209">
        <v>379756</v>
      </c>
      <c r="I73" s="148" t="str">
        <f>VLOOKUP(G73,'Input keuzevariabelen'!$E$11:$I$80,3,FALSE)</f>
        <v>m3</v>
      </c>
      <c r="J73" s="211">
        <f>SUMIFS('Input keuzevariabelen'!$H$11:$H$80,'Input keuzevariabelen'!$E$11:$E$80,Data!G73,'Input keuzevariabelen'!$J$11:$J$80,Data!D73)</f>
        <v>1962</v>
      </c>
      <c r="K73" s="148" t="str">
        <f>VLOOKUP(G73,'Input keuzevariabelen'!$E$11:$I$80,5,FALSE)</f>
        <v>gram CO2/m3</v>
      </c>
      <c r="L73" s="208">
        <f t="shared" si="0"/>
        <v>745081.272</v>
      </c>
      <c r="M73" s="208">
        <f t="shared" si="1"/>
        <v>745.08127200000001</v>
      </c>
      <c r="N73" s="156" t="s">
        <v>176</v>
      </c>
      <c r="O73" s="150" t="s">
        <v>131</v>
      </c>
      <c r="P73" s="157" t="s">
        <v>142</v>
      </c>
    </row>
    <row r="74" spans="2:16" ht="18" thickTop="1" thickBot="1" x14ac:dyDescent="0.25">
      <c r="B74" s="183" t="s">
        <v>127</v>
      </c>
      <c r="C74" s="189" t="s">
        <v>125</v>
      </c>
      <c r="D74" s="156">
        <v>2020</v>
      </c>
      <c r="E74" s="190" t="s">
        <v>16</v>
      </c>
      <c r="F74" s="147" t="str">
        <f>VLOOKUP(G74,'Input keuzevariabelen'!$E$11:$I$80,2,FALSE)</f>
        <v>Memo</v>
      </c>
      <c r="G74" s="156" t="s">
        <v>108</v>
      </c>
      <c r="H74" s="209">
        <v>3080427</v>
      </c>
      <c r="I74" s="148" t="str">
        <f>VLOOKUP(G74,'Input keuzevariabelen'!$E$11:$I$80,3,FALSE)</f>
        <v>m3</v>
      </c>
      <c r="J74" s="211">
        <f>SUMIFS('Input keuzevariabelen'!$H$11:$H$80,'Input keuzevariabelen'!$E$11:$E$80,Data!G74,'Input keuzevariabelen'!$J$11:$J$80,Data!D74)</f>
        <v>1962</v>
      </c>
      <c r="K74" s="148" t="str">
        <f>VLOOKUP(G74,'Input keuzevariabelen'!$E$11:$I$80,5,FALSE)</f>
        <v>gram CO2/m3</v>
      </c>
      <c r="L74" s="208">
        <f t="shared" si="0"/>
        <v>6043797.7740000002</v>
      </c>
      <c r="M74" s="208">
        <f t="shared" si="1"/>
        <v>6043.7977739999997</v>
      </c>
      <c r="N74" s="156" t="s">
        <v>176</v>
      </c>
      <c r="O74" s="150" t="s">
        <v>133</v>
      </c>
      <c r="P74" s="157" t="s">
        <v>142</v>
      </c>
    </row>
    <row r="75" spans="2:16" ht="18" thickTop="1" thickBot="1" x14ac:dyDescent="0.25">
      <c r="B75" s="183" t="s">
        <v>127</v>
      </c>
      <c r="C75" s="189" t="s">
        <v>125</v>
      </c>
      <c r="D75" s="156">
        <v>2020</v>
      </c>
      <c r="E75" s="190" t="s">
        <v>16</v>
      </c>
      <c r="F75" s="147" t="str">
        <f>VLOOKUP(G75,'Input keuzevariabelen'!$E$11:$I$80,2,FALSE)</f>
        <v>Memo</v>
      </c>
      <c r="G75" s="156" t="s">
        <v>108</v>
      </c>
      <c r="H75" s="209">
        <v>418257</v>
      </c>
      <c r="I75" s="148" t="str">
        <f>VLOOKUP(G75,'Input keuzevariabelen'!$E$11:$I$80,3,FALSE)</f>
        <v>m3</v>
      </c>
      <c r="J75" s="211">
        <f>SUMIFS('Input keuzevariabelen'!$H$11:$H$80,'Input keuzevariabelen'!$E$11:$E$80,Data!G75,'Input keuzevariabelen'!$J$11:$J$80,Data!D75)</f>
        <v>1962</v>
      </c>
      <c r="K75" s="148" t="str">
        <f>VLOOKUP(G75,'Input keuzevariabelen'!$E$11:$I$80,5,FALSE)</f>
        <v>gram CO2/m3</v>
      </c>
      <c r="L75" s="208">
        <f t="shared" si="0"/>
        <v>820620.23400000005</v>
      </c>
      <c r="M75" s="208">
        <f t="shared" si="1"/>
        <v>820.62023399999998</v>
      </c>
      <c r="N75" s="156" t="s">
        <v>176</v>
      </c>
      <c r="O75" s="150" t="s">
        <v>135</v>
      </c>
      <c r="P75" s="157" t="s">
        <v>142</v>
      </c>
    </row>
    <row r="76" spans="2:16" ht="18" thickTop="1" thickBot="1" x14ac:dyDescent="0.25">
      <c r="B76" s="183" t="s">
        <v>127</v>
      </c>
      <c r="C76" s="183" t="s">
        <v>125</v>
      </c>
      <c r="D76" s="156">
        <v>2020</v>
      </c>
      <c r="E76" s="190" t="s">
        <v>16</v>
      </c>
      <c r="F76" s="147" t="str">
        <f>VLOOKUP(G76,'Input keuzevariabelen'!$E$11:$I$80,2,FALSE)</f>
        <v>Memo</v>
      </c>
      <c r="G76" s="156" t="s">
        <v>84</v>
      </c>
      <c r="H76" s="209">
        <v>9578</v>
      </c>
      <c r="I76" s="148" t="str">
        <f>VLOOKUP(G76,'Input keuzevariabelen'!$E$11:$I$80,3,FALSE)</f>
        <v>m3</v>
      </c>
      <c r="J76" s="211">
        <f>SUMIFS('Input keuzevariabelen'!$H$11:$H$80,'Input keuzevariabelen'!$E$11:$E$80,Data!G76,'Input keuzevariabelen'!$J$11:$J$80,Data!D76)</f>
        <v>1962</v>
      </c>
      <c r="K76" s="148" t="str">
        <f>VLOOKUP(G76,'Input keuzevariabelen'!$E$11:$I$80,5,FALSE)</f>
        <v>gram CO2/m3</v>
      </c>
      <c r="L76" s="208">
        <f t="shared" si="0"/>
        <v>18792.036</v>
      </c>
      <c r="M76" s="208">
        <f t="shared" si="1"/>
        <v>18.792036</v>
      </c>
      <c r="N76" s="156" t="s">
        <v>176</v>
      </c>
      <c r="O76" s="150" t="s">
        <v>131</v>
      </c>
      <c r="P76" s="157" t="s">
        <v>143</v>
      </c>
    </row>
    <row r="77" spans="2:16" ht="18" thickTop="1" thickBot="1" x14ac:dyDescent="0.25">
      <c r="B77" s="183" t="s">
        <v>127</v>
      </c>
      <c r="C77" s="183" t="s">
        <v>125</v>
      </c>
      <c r="D77" s="156">
        <v>2020</v>
      </c>
      <c r="E77" s="190" t="s">
        <v>16</v>
      </c>
      <c r="F77" s="147" t="str">
        <f>VLOOKUP(G77,'Input keuzevariabelen'!$E$11:$I$80,2,FALSE)</f>
        <v>Memo</v>
      </c>
      <c r="G77" s="156" t="s">
        <v>84</v>
      </c>
      <c r="H77" s="209">
        <v>6452</v>
      </c>
      <c r="I77" s="148" t="str">
        <f>VLOOKUP(G77,'Input keuzevariabelen'!$E$11:$I$80,3,FALSE)</f>
        <v>m3</v>
      </c>
      <c r="J77" s="211">
        <f>SUMIFS('Input keuzevariabelen'!$H$11:$H$80,'Input keuzevariabelen'!$E$11:$E$80,Data!G77,'Input keuzevariabelen'!$J$11:$J$80,Data!D77)</f>
        <v>1962</v>
      </c>
      <c r="K77" s="148" t="str">
        <f>VLOOKUP(G77,'Input keuzevariabelen'!$E$11:$I$80,5,FALSE)</f>
        <v>gram CO2/m3</v>
      </c>
      <c r="L77" s="208">
        <f t="shared" si="0"/>
        <v>12658.824000000001</v>
      </c>
      <c r="M77" s="208">
        <f t="shared" si="1"/>
        <v>12.658823999999999</v>
      </c>
      <c r="N77" s="156" t="s">
        <v>176</v>
      </c>
      <c r="O77" s="156" t="s">
        <v>133</v>
      </c>
      <c r="P77" s="157" t="s">
        <v>143</v>
      </c>
    </row>
    <row r="78" spans="2:16" ht="18" thickTop="1" thickBot="1" x14ac:dyDescent="0.25">
      <c r="B78" s="183" t="s">
        <v>127</v>
      </c>
      <c r="C78" s="183" t="s">
        <v>125</v>
      </c>
      <c r="D78" s="156">
        <v>2020</v>
      </c>
      <c r="E78" s="190" t="s">
        <v>16</v>
      </c>
      <c r="F78" s="147" t="str">
        <f>VLOOKUP(G78,'Input keuzevariabelen'!$E$11:$I$80,2,FALSE)</f>
        <v>Memo</v>
      </c>
      <c r="G78" s="156" t="s">
        <v>84</v>
      </c>
      <c r="H78" s="209">
        <v>33635</v>
      </c>
      <c r="I78" s="148" t="str">
        <f>VLOOKUP(G78,'Input keuzevariabelen'!$E$11:$I$80,3,FALSE)</f>
        <v>m3</v>
      </c>
      <c r="J78" s="211">
        <f>SUMIFS('Input keuzevariabelen'!$H$11:$H$80,'Input keuzevariabelen'!$E$11:$E$80,Data!G78,'Input keuzevariabelen'!$J$11:$J$80,Data!D78)</f>
        <v>1962</v>
      </c>
      <c r="K78" s="148" t="str">
        <f>VLOOKUP(G78,'Input keuzevariabelen'!$E$11:$I$80,5,FALSE)</f>
        <v>gram CO2/m3</v>
      </c>
      <c r="L78" s="208">
        <f t="shared" si="0"/>
        <v>65991.87</v>
      </c>
      <c r="M78" s="208">
        <f t="shared" si="1"/>
        <v>65.991870000000006</v>
      </c>
      <c r="N78" s="156" t="s">
        <v>176</v>
      </c>
      <c r="O78" s="156" t="s">
        <v>134</v>
      </c>
      <c r="P78" s="157" t="s">
        <v>143</v>
      </c>
    </row>
    <row r="79" spans="2:16" ht="18" thickTop="1" thickBot="1" x14ac:dyDescent="0.25">
      <c r="B79" s="183" t="s">
        <v>127</v>
      </c>
      <c r="C79" s="183" t="s">
        <v>125</v>
      </c>
      <c r="D79" s="156">
        <v>2020</v>
      </c>
      <c r="E79" s="190" t="s">
        <v>16</v>
      </c>
      <c r="F79" s="147" t="str">
        <f>VLOOKUP(G79,'Input keuzevariabelen'!$E$11:$I$80,2,FALSE)</f>
        <v>Memo</v>
      </c>
      <c r="G79" s="156" t="s">
        <v>84</v>
      </c>
      <c r="H79" s="209">
        <v>35970</v>
      </c>
      <c r="I79" s="148" t="str">
        <f>VLOOKUP(G79,'Input keuzevariabelen'!$E$11:$I$80,3,FALSE)</f>
        <v>m3</v>
      </c>
      <c r="J79" s="211">
        <f>SUMIFS('Input keuzevariabelen'!$H$11:$H$80,'Input keuzevariabelen'!$E$11:$E$80,Data!G79,'Input keuzevariabelen'!$J$11:$J$80,Data!D79)</f>
        <v>1962</v>
      </c>
      <c r="K79" s="148" t="str">
        <f>VLOOKUP(G79,'Input keuzevariabelen'!$E$11:$I$80,5,FALSE)</f>
        <v>gram CO2/m3</v>
      </c>
      <c r="L79" s="208">
        <f t="shared" ref="L79" si="28">H79*J79/1000</f>
        <v>70573.14</v>
      </c>
      <c r="M79" s="208">
        <f t="shared" ref="M79" si="29">H79*J79/1000000</f>
        <v>70.573139999999995</v>
      </c>
      <c r="N79" s="156" t="s">
        <v>176</v>
      </c>
      <c r="O79" s="150" t="s">
        <v>135</v>
      </c>
      <c r="P79" s="157" t="s">
        <v>143</v>
      </c>
    </row>
    <row r="80" spans="2:16" ht="18" thickTop="1" thickBot="1" x14ac:dyDescent="0.25">
      <c r="B80" s="183" t="s">
        <v>127</v>
      </c>
      <c r="C80" s="183" t="s">
        <v>125</v>
      </c>
      <c r="D80" s="156">
        <v>2020</v>
      </c>
      <c r="E80" s="190" t="s">
        <v>16</v>
      </c>
      <c r="F80" s="147">
        <f>VLOOKUP(G80,'Input keuzevariabelen'!$E$11:$I$80,2,FALSE)</f>
        <v>1</v>
      </c>
      <c r="G80" s="156" t="s">
        <v>92</v>
      </c>
      <c r="H80" s="209">
        <v>600</v>
      </c>
      <c r="I80" s="148" t="str">
        <f>VLOOKUP(G80,'Input keuzevariabelen'!$E$11:$I$80,3,FALSE)</f>
        <v>m3</v>
      </c>
      <c r="J80" s="211">
        <f>SUMIFS('Input keuzevariabelen'!$H$11:$H$80,'Input keuzevariabelen'!$E$11:$E$80,Data!G80,'Input keuzevariabelen'!$J$11:$J$80,Data!D80)</f>
        <v>11050</v>
      </c>
      <c r="K80" s="148" t="str">
        <f>VLOOKUP(G80,'Input keuzevariabelen'!$E$11:$I$80,5,FALSE)</f>
        <v>gram CO2/m3</v>
      </c>
      <c r="L80" s="208">
        <f t="shared" si="0"/>
        <v>6630</v>
      </c>
      <c r="M80" s="208">
        <f t="shared" si="1"/>
        <v>6.63</v>
      </c>
      <c r="N80" s="156" t="s">
        <v>176</v>
      </c>
      <c r="O80" s="150" t="s">
        <v>133</v>
      </c>
      <c r="P80" s="157" t="s">
        <v>143</v>
      </c>
    </row>
    <row r="81" spans="2:16" ht="18" thickTop="1" thickBot="1" x14ac:dyDescent="0.25">
      <c r="B81" s="183" t="s">
        <v>127</v>
      </c>
      <c r="C81" s="183" t="s">
        <v>125</v>
      </c>
      <c r="D81" s="156">
        <v>2020</v>
      </c>
      <c r="E81" s="190" t="s">
        <v>16</v>
      </c>
      <c r="F81" s="147">
        <f>VLOOKUP(G81,'Input keuzevariabelen'!$E$11:$I$80,2,FALSE)</f>
        <v>1</v>
      </c>
      <c r="G81" s="156" t="s">
        <v>81</v>
      </c>
      <c r="H81" s="209">
        <v>4788</v>
      </c>
      <c r="I81" s="148" t="str">
        <f>VLOOKUP(G81,'Input keuzevariabelen'!$E$11:$I$80,3,FALSE)</f>
        <v>liter</v>
      </c>
      <c r="J81" s="211">
        <f>SUMIFS('Input keuzevariabelen'!$H$11:$H$80,'Input keuzevariabelen'!$E$11:$E$80,Data!G81,'Input keuzevariabelen'!$J$11:$J$80,Data!D81)</f>
        <v>3262</v>
      </c>
      <c r="K81" s="148" t="str">
        <f>VLOOKUP(G81,'Input keuzevariabelen'!$E$11:$I$80,5,FALSE)</f>
        <v>gram CO2/liter</v>
      </c>
      <c r="L81" s="208">
        <f t="shared" si="0"/>
        <v>15618.456</v>
      </c>
      <c r="M81" s="208">
        <f t="shared" si="1"/>
        <v>15.618456</v>
      </c>
      <c r="N81" s="156" t="s">
        <v>176</v>
      </c>
      <c r="O81" s="150" t="s">
        <v>135</v>
      </c>
      <c r="P81" s="157" t="s">
        <v>144</v>
      </c>
    </row>
    <row r="82" spans="2:16" ht="18" thickTop="1" thickBot="1" x14ac:dyDescent="0.25">
      <c r="B82" s="183" t="s">
        <v>127</v>
      </c>
      <c r="C82" s="183" t="s">
        <v>126</v>
      </c>
      <c r="D82" s="156">
        <v>2020</v>
      </c>
      <c r="E82" s="190" t="s">
        <v>16</v>
      </c>
      <c r="F82" s="147">
        <f>VLOOKUP(G82,'Input keuzevariabelen'!$E$11:$I$80,2,FALSE)</f>
        <v>1</v>
      </c>
      <c r="G82" s="156" t="s">
        <v>82</v>
      </c>
      <c r="H82" s="209">
        <v>2406</v>
      </c>
      <c r="I82" s="148" t="str">
        <f>VLOOKUP(G82,'Input keuzevariabelen'!$E$11:$I$80,3,FALSE)</f>
        <v>liter</v>
      </c>
      <c r="J82" s="211">
        <f>SUMIFS('Input keuzevariabelen'!$H$11:$H$80,'Input keuzevariabelen'!$E$11:$E$80,Data!G82,'Input keuzevariabelen'!$J$11:$J$80,Data!D82)</f>
        <v>2784</v>
      </c>
      <c r="K82" s="148" t="str">
        <f>VLOOKUP(G82,'Input keuzevariabelen'!$E$11:$I$80,5,FALSE)</f>
        <v>gram CO2/liter</v>
      </c>
      <c r="L82" s="208">
        <f t="shared" ref="L82:L168" si="30">H82*J82/1000</f>
        <v>6698.3040000000001</v>
      </c>
      <c r="M82" s="208">
        <f t="shared" ref="M82:M168" si="31">H82*J82/1000000</f>
        <v>6.6983040000000003</v>
      </c>
      <c r="N82" s="148" t="s">
        <v>177</v>
      </c>
      <c r="O82" s="156"/>
      <c r="P82" s="157" t="s">
        <v>129</v>
      </c>
    </row>
    <row r="83" spans="2:16" ht="18" thickTop="1" thickBot="1" x14ac:dyDescent="0.25">
      <c r="B83" s="183" t="s">
        <v>127</v>
      </c>
      <c r="C83" s="183" t="s">
        <v>126</v>
      </c>
      <c r="D83" s="156">
        <v>2020</v>
      </c>
      <c r="E83" s="190" t="s">
        <v>16</v>
      </c>
      <c r="F83" s="147">
        <f>VLOOKUP(G83,'Input keuzevariabelen'!$E$11:$I$80,2,FALSE)</f>
        <v>1</v>
      </c>
      <c r="G83" s="156" t="s">
        <v>81</v>
      </c>
      <c r="H83" s="209">
        <v>27692</v>
      </c>
      <c r="I83" s="148" t="str">
        <f>VLOOKUP(G83,'Input keuzevariabelen'!$E$11:$I$80,3,FALSE)</f>
        <v>liter</v>
      </c>
      <c r="J83" s="211">
        <f>SUMIFS('Input keuzevariabelen'!$H$11:$H$80,'Input keuzevariabelen'!$E$11:$E$80,Data!G83,'Input keuzevariabelen'!$J$11:$J$80,Data!D83)</f>
        <v>3262</v>
      </c>
      <c r="K83" s="148" t="str">
        <f>VLOOKUP(G83,'Input keuzevariabelen'!$E$11:$I$80,5,FALSE)</f>
        <v>gram CO2/liter</v>
      </c>
      <c r="L83" s="208">
        <f t="shared" si="30"/>
        <v>90331.304000000004</v>
      </c>
      <c r="M83" s="208">
        <f t="shared" si="31"/>
        <v>90.331304000000003</v>
      </c>
      <c r="N83" s="148" t="s">
        <v>177</v>
      </c>
      <c r="O83" s="156"/>
      <c r="P83" s="157" t="s">
        <v>146</v>
      </c>
    </row>
    <row r="84" spans="2:16" ht="18" thickTop="1" thickBot="1" x14ac:dyDescent="0.25">
      <c r="B84" s="183" t="s">
        <v>127</v>
      </c>
      <c r="C84" s="183" t="s">
        <v>126</v>
      </c>
      <c r="D84" s="156">
        <v>2020</v>
      </c>
      <c r="E84" s="190" t="s">
        <v>16</v>
      </c>
      <c r="F84" s="147">
        <f>VLOOKUP(G84,'Input keuzevariabelen'!$E$11:$I$80,2,FALSE)</f>
        <v>2</v>
      </c>
      <c r="G84" s="156" t="s">
        <v>97</v>
      </c>
      <c r="H84" s="209">
        <v>383</v>
      </c>
      <c r="I84" s="148" t="str">
        <f>VLOOKUP(G84,'Input keuzevariabelen'!$E$11:$I$80,3,FALSE)</f>
        <v>kWh</v>
      </c>
      <c r="J84" s="211">
        <f>SUMIFS('Input keuzevariabelen'!$H$11:$H$80,'Input keuzevariabelen'!$E$11:$E$80,Data!G84,'Input keuzevariabelen'!$J$11:$J$80,Data!D84)</f>
        <v>556</v>
      </c>
      <c r="K84" s="148" t="str">
        <f>VLOOKUP(G84,'Input keuzevariabelen'!$E$11:$I$80,5,FALSE)</f>
        <v>gram CO2/kWh</v>
      </c>
      <c r="L84" s="208">
        <f t="shared" si="30"/>
        <v>212.94800000000001</v>
      </c>
      <c r="M84" s="208">
        <f t="shared" si="31"/>
        <v>0.212948</v>
      </c>
      <c r="N84" s="148" t="s">
        <v>177</v>
      </c>
      <c r="O84" s="156"/>
      <c r="P84" s="157" t="s">
        <v>141</v>
      </c>
    </row>
    <row r="85" spans="2:16" ht="18" thickTop="1" thickBot="1" x14ac:dyDescent="0.25">
      <c r="B85" s="183" t="s">
        <v>127</v>
      </c>
      <c r="C85" s="183" t="s">
        <v>126</v>
      </c>
      <c r="D85" s="156">
        <v>2020</v>
      </c>
      <c r="E85" s="190" t="s">
        <v>16</v>
      </c>
      <c r="F85" s="147" t="str">
        <f>VLOOKUP(G85,'Input keuzevariabelen'!$E$11:$I$80,2,FALSE)</f>
        <v>bt</v>
      </c>
      <c r="G85" s="156" t="s">
        <v>12</v>
      </c>
      <c r="H85" s="209">
        <v>257647</v>
      </c>
      <c r="I85" s="148" t="str">
        <f>VLOOKUP(G85,'Input keuzevariabelen'!$E$11:$I$80,3,FALSE)</f>
        <v>km</v>
      </c>
      <c r="J85" s="211">
        <f>SUMIFS('Input keuzevariabelen'!$H$11:$H$80,'Input keuzevariabelen'!$E$11:$E$80,Data!G85,'Input keuzevariabelen'!$J$11:$J$80,Data!D85)</f>
        <v>195</v>
      </c>
      <c r="K85" s="148" t="str">
        <f>VLOOKUP(G85,'Input keuzevariabelen'!$E$11:$I$80,5,FALSE)</f>
        <v>gram CO2/km</v>
      </c>
      <c r="L85" s="208">
        <f t="shared" si="30"/>
        <v>50241.165000000001</v>
      </c>
      <c r="M85" s="208">
        <f t="shared" si="31"/>
        <v>50.241165000000002</v>
      </c>
      <c r="N85" s="148" t="s">
        <v>177</v>
      </c>
      <c r="O85" s="156"/>
      <c r="P85" s="157"/>
    </row>
    <row r="86" spans="2:16" ht="18" thickTop="1" thickBot="1" x14ac:dyDescent="0.25">
      <c r="B86" s="183" t="s">
        <v>127</v>
      </c>
      <c r="C86" s="183" t="s">
        <v>126</v>
      </c>
      <c r="D86" s="156">
        <v>2020</v>
      </c>
      <c r="E86" s="190" t="s">
        <v>16</v>
      </c>
      <c r="F86" s="147" t="str">
        <f>VLOOKUP(G86,'Input keuzevariabelen'!$E$11:$I$80,2,FALSE)</f>
        <v>bt</v>
      </c>
      <c r="G86" s="156" t="s">
        <v>12</v>
      </c>
      <c r="H86" s="209">
        <v>831225</v>
      </c>
      <c r="I86" s="148" t="str">
        <f>VLOOKUP(G86,'Input keuzevariabelen'!$E$11:$I$80,3,FALSE)</f>
        <v>km</v>
      </c>
      <c r="J86" s="211">
        <f>SUMIFS('Input keuzevariabelen'!$H$11:$H$80,'Input keuzevariabelen'!$E$11:$E$80,Data!G86,'Input keuzevariabelen'!$J$11:$J$80,Data!D86)</f>
        <v>195</v>
      </c>
      <c r="K86" s="148" t="str">
        <f>VLOOKUP(G86,'Input keuzevariabelen'!$E$11:$I$80,5,FALSE)</f>
        <v>gram CO2/km</v>
      </c>
      <c r="L86" s="208">
        <f t="shared" si="30"/>
        <v>162088.875</v>
      </c>
      <c r="M86" s="208">
        <f t="shared" si="31"/>
        <v>162.088875</v>
      </c>
      <c r="N86" s="148" t="s">
        <v>177</v>
      </c>
      <c r="O86" s="156"/>
      <c r="P86" s="157" t="s">
        <v>154</v>
      </c>
    </row>
    <row r="87" spans="2:16" ht="18" thickTop="1" thickBot="1" x14ac:dyDescent="0.25">
      <c r="B87" s="183" t="s">
        <v>127</v>
      </c>
      <c r="C87" s="183" t="s">
        <v>126</v>
      </c>
      <c r="D87" s="156">
        <v>2020</v>
      </c>
      <c r="E87" s="190" t="s">
        <v>16</v>
      </c>
      <c r="F87" s="147" t="str">
        <f>VLOOKUP(G87,'Input keuzevariabelen'!$E$11:$I$80,2,FALSE)</f>
        <v>bt</v>
      </c>
      <c r="G87" s="156" t="s">
        <v>98</v>
      </c>
      <c r="H87" s="209">
        <v>0</v>
      </c>
      <c r="I87" s="148" t="str">
        <f>VLOOKUP(G87,'Input keuzevariabelen'!$E$11:$I$80,3,FALSE)</f>
        <v>km</v>
      </c>
      <c r="J87" s="211">
        <f>SUMIFS('Input keuzevariabelen'!$H$11:$H$80,'Input keuzevariabelen'!$E$11:$E$80,Data!G87,'Input keuzevariabelen'!$J$11:$J$80,Data!D87)</f>
        <v>6</v>
      </c>
      <c r="K87" s="148" t="str">
        <f>VLOOKUP(G87,'Input keuzevariabelen'!$E$11:$I$80,5,FALSE)</f>
        <v>gram CO2/km</v>
      </c>
      <c r="L87" s="208">
        <f t="shared" si="30"/>
        <v>0</v>
      </c>
      <c r="M87" s="208">
        <f t="shared" si="31"/>
        <v>0</v>
      </c>
      <c r="N87" s="148" t="s">
        <v>177</v>
      </c>
      <c r="O87" s="156"/>
      <c r="P87" s="157"/>
    </row>
    <row r="88" spans="2:16" ht="18" thickTop="1" thickBot="1" x14ac:dyDescent="0.25">
      <c r="B88" s="183" t="s">
        <v>127</v>
      </c>
      <c r="C88" s="183" t="s">
        <v>126</v>
      </c>
      <c r="D88" s="156">
        <v>2020</v>
      </c>
      <c r="E88" s="190" t="s">
        <v>16</v>
      </c>
      <c r="F88" s="147" t="str">
        <f>VLOOKUP(G88,'Input keuzevariabelen'!$E$11:$I$80,2,FALSE)</f>
        <v>bt</v>
      </c>
      <c r="G88" s="156" t="s">
        <v>74</v>
      </c>
      <c r="H88" s="209">
        <v>1960</v>
      </c>
      <c r="I88" s="148" t="str">
        <f>VLOOKUP(G88,'Input keuzevariabelen'!$E$11:$I$80,3,FALSE)</f>
        <v>km</v>
      </c>
      <c r="J88" s="211">
        <f>SUMIFS('Input keuzevariabelen'!$H$11:$H$80,'Input keuzevariabelen'!$E$11:$E$80,Data!G88,'Input keuzevariabelen'!$J$11:$J$80,Data!D88)</f>
        <v>297</v>
      </c>
      <c r="K88" s="148" t="str">
        <f>VLOOKUP(G88,'Input keuzevariabelen'!$E$11:$I$80,5,FALSE)</f>
        <v>gram CO2/km</v>
      </c>
      <c r="L88" s="208">
        <f t="shared" si="30"/>
        <v>582.12</v>
      </c>
      <c r="M88" s="208">
        <f t="shared" si="31"/>
        <v>0.58211999999999997</v>
      </c>
      <c r="N88" s="148" t="s">
        <v>177</v>
      </c>
      <c r="O88" s="156"/>
      <c r="P88" s="157" t="s">
        <v>153</v>
      </c>
    </row>
    <row r="89" spans="2:16" ht="18" thickTop="1" thickBot="1" x14ac:dyDescent="0.25">
      <c r="B89" s="183" t="s">
        <v>127</v>
      </c>
      <c r="C89" s="183" t="s">
        <v>126</v>
      </c>
      <c r="D89" s="156">
        <v>2020</v>
      </c>
      <c r="E89" s="190" t="s">
        <v>16</v>
      </c>
      <c r="F89" s="147" t="str">
        <f>VLOOKUP(G89,'Input keuzevariabelen'!$E$11:$I$80,2,FALSE)</f>
        <v>bt</v>
      </c>
      <c r="G89" s="156" t="s">
        <v>75</v>
      </c>
      <c r="H89" s="209">
        <v>206567</v>
      </c>
      <c r="I89" s="148" t="str">
        <f>VLOOKUP(G89,'Input keuzevariabelen'!$E$11:$I$80,3,FALSE)</f>
        <v>km</v>
      </c>
      <c r="J89" s="211">
        <f>SUMIFS('Input keuzevariabelen'!$H$11:$H$80,'Input keuzevariabelen'!$E$11:$E$80,Data!G89,'Input keuzevariabelen'!$J$11:$J$80,Data!D89)</f>
        <v>200</v>
      </c>
      <c r="K89" s="148" t="str">
        <f>VLOOKUP(G89,'Input keuzevariabelen'!$E$11:$I$80,5,FALSE)</f>
        <v>gram CO2/km</v>
      </c>
      <c r="L89" s="208">
        <f t="shared" si="30"/>
        <v>41313.4</v>
      </c>
      <c r="M89" s="208">
        <f t="shared" si="31"/>
        <v>41.313400000000001</v>
      </c>
      <c r="N89" s="148" t="s">
        <v>177</v>
      </c>
      <c r="O89" s="156" t="s">
        <v>164</v>
      </c>
      <c r="P89" s="157" t="s">
        <v>163</v>
      </c>
    </row>
    <row r="90" spans="2:16" ht="18" thickTop="1" thickBot="1" x14ac:dyDescent="0.25">
      <c r="B90" s="183" t="s">
        <v>127</v>
      </c>
      <c r="C90" s="183" t="s">
        <v>126</v>
      </c>
      <c r="D90" s="156">
        <v>2020</v>
      </c>
      <c r="E90" s="190" t="s">
        <v>16</v>
      </c>
      <c r="F90" s="147" t="str">
        <f>VLOOKUP(G90,'Input keuzevariabelen'!$E$11:$I$80,2,FALSE)</f>
        <v>bt</v>
      </c>
      <c r="G90" s="156" t="s">
        <v>76</v>
      </c>
      <c r="H90" s="209">
        <v>58826</v>
      </c>
      <c r="I90" s="148" t="str">
        <f>VLOOKUP(G90,'Input keuzevariabelen'!$E$11:$I$80,3,FALSE)</f>
        <v>km</v>
      </c>
      <c r="J90" s="211">
        <f>SUMIFS('Input keuzevariabelen'!$H$11:$H$80,'Input keuzevariabelen'!$E$11:$E$80,Data!G90,'Input keuzevariabelen'!$J$11:$J$80,Data!D90)</f>
        <v>147</v>
      </c>
      <c r="K90" s="148" t="str">
        <f>VLOOKUP(G90,'Input keuzevariabelen'!$E$11:$I$80,5,FALSE)</f>
        <v>gram CO2/km</v>
      </c>
      <c r="L90" s="208">
        <f t="shared" si="30"/>
        <v>8647.4220000000005</v>
      </c>
      <c r="M90" s="208">
        <f t="shared" si="31"/>
        <v>8.6474220000000006</v>
      </c>
      <c r="N90" s="148" t="s">
        <v>177</v>
      </c>
      <c r="O90" s="157"/>
      <c r="P90" s="157" t="s">
        <v>152</v>
      </c>
    </row>
    <row r="91" spans="2:16" ht="18" thickTop="1" thickBot="1" x14ac:dyDescent="0.25">
      <c r="B91" s="183"/>
      <c r="C91" s="183" t="s">
        <v>112</v>
      </c>
      <c r="D91" s="156">
        <v>2020</v>
      </c>
      <c r="E91" s="190" t="s">
        <v>16</v>
      </c>
      <c r="F91" s="147">
        <f>VLOOKUP(G91,'Input keuzevariabelen'!$E$11:$I$80,2,FALSE)</f>
        <v>1</v>
      </c>
      <c r="G91" s="156" t="s">
        <v>5</v>
      </c>
      <c r="H91" s="209">
        <f>322145*0.2</f>
        <v>64429</v>
      </c>
      <c r="I91" s="148" t="str">
        <f>VLOOKUP(G91,'Input keuzevariabelen'!$E$11:$I$80,3,FALSE)</f>
        <v>m3</v>
      </c>
      <c r="J91" s="211">
        <f>SUMIFS('Input keuzevariabelen'!$H$11:$H$80,'Input keuzevariabelen'!$E$11:$E$80,Data!G91,'Input keuzevariabelen'!$J$11:$J$80,Data!D91)</f>
        <v>1884</v>
      </c>
      <c r="K91" s="148" t="str">
        <f>VLOOKUP(G91,'Input keuzevariabelen'!$E$11:$I$80,5,FALSE)</f>
        <v>gram CO2/m3</v>
      </c>
      <c r="L91" s="208">
        <f t="shared" si="30"/>
        <v>121384.236</v>
      </c>
      <c r="M91" s="208">
        <f t="shared" si="31"/>
        <v>121.384236</v>
      </c>
      <c r="N91" s="156" t="s">
        <v>173</v>
      </c>
      <c r="O91" s="157" t="s">
        <v>112</v>
      </c>
      <c r="P91" s="157" t="s">
        <v>167</v>
      </c>
    </row>
    <row r="92" spans="2:16" ht="18" thickTop="1" thickBot="1" x14ac:dyDescent="0.25">
      <c r="B92" s="183"/>
      <c r="C92" s="183" t="s">
        <v>112</v>
      </c>
      <c r="D92" s="156">
        <v>2020</v>
      </c>
      <c r="E92" s="190" t="s">
        <v>16</v>
      </c>
      <c r="F92" s="147">
        <f>VLOOKUP(G92,'Input keuzevariabelen'!$E$11:$I$80,2,FALSE)</f>
        <v>2</v>
      </c>
      <c r="G92" s="156" t="s">
        <v>28</v>
      </c>
      <c r="H92" s="209">
        <f>18877000*0.2</f>
        <v>3775400</v>
      </c>
      <c r="I92" s="148" t="str">
        <f>VLOOKUP(G92,'Input keuzevariabelen'!$E$11:$I$80,3,FALSE)</f>
        <v>kWh</v>
      </c>
      <c r="J92" s="211">
        <f>SUMIFS('Input keuzevariabelen'!$H$11:$H$80,'Input keuzevariabelen'!$E$11:$E$80,Data!G92,'Input keuzevariabelen'!$J$11:$J$80,Data!D92)</f>
        <v>0</v>
      </c>
      <c r="K92" s="148" t="str">
        <f>VLOOKUP(G92,'Input keuzevariabelen'!$E$11:$I$80,5,FALSE)</f>
        <v>gram CO2/kWh</v>
      </c>
      <c r="L92" s="208">
        <f t="shared" ref="L92" si="32">H92*J92/1000</f>
        <v>0</v>
      </c>
      <c r="M92" s="208">
        <f t="shared" ref="M92" si="33">H92*J92/1000000</f>
        <v>0</v>
      </c>
      <c r="N92" s="156" t="s">
        <v>173</v>
      </c>
      <c r="O92" s="157" t="s">
        <v>112</v>
      </c>
      <c r="P92" s="157" t="s">
        <v>167</v>
      </c>
    </row>
    <row r="93" spans="2:16" ht="18" thickTop="1" thickBot="1" x14ac:dyDescent="0.25">
      <c r="B93" s="183"/>
      <c r="C93" s="183" t="s">
        <v>112</v>
      </c>
      <c r="D93" s="156">
        <v>2020</v>
      </c>
      <c r="E93" s="190" t="s">
        <v>16</v>
      </c>
      <c r="F93" s="147">
        <f>VLOOKUP(G93,'Input keuzevariabelen'!$E$11:$I$80,2,FALSE)</f>
        <v>2</v>
      </c>
      <c r="G93" s="156" t="s">
        <v>28</v>
      </c>
      <c r="H93" s="209">
        <f>4836000*0.2</f>
        <v>967200</v>
      </c>
      <c r="I93" s="148" t="str">
        <f>VLOOKUP(G93,'Input keuzevariabelen'!$E$11:$I$80,3,FALSE)</f>
        <v>kWh</v>
      </c>
      <c r="J93" s="211">
        <f>SUMIFS('Input keuzevariabelen'!$H$11:$H$80,'Input keuzevariabelen'!$E$11:$E$80,Data!G93,'Input keuzevariabelen'!$J$11:$J$80,Data!D93)</f>
        <v>0</v>
      </c>
      <c r="K93" s="148" t="str">
        <f>VLOOKUP(G93,'Input keuzevariabelen'!$E$11:$I$80,5,FALSE)</f>
        <v>gram CO2/kWh</v>
      </c>
      <c r="L93" s="208">
        <f t="shared" si="30"/>
        <v>0</v>
      </c>
      <c r="M93" s="208">
        <f t="shared" si="31"/>
        <v>0</v>
      </c>
      <c r="N93" s="156" t="s">
        <v>173</v>
      </c>
      <c r="O93" s="157" t="s">
        <v>112</v>
      </c>
      <c r="P93" s="157" t="s">
        <v>167</v>
      </c>
    </row>
    <row r="94" spans="2:16" ht="18" thickTop="1" thickBot="1" x14ac:dyDescent="0.25">
      <c r="B94" s="183"/>
      <c r="C94" s="183" t="s">
        <v>101</v>
      </c>
      <c r="D94" s="156">
        <v>2020</v>
      </c>
      <c r="E94" s="190" t="s">
        <v>16</v>
      </c>
      <c r="F94" s="147">
        <f>VLOOKUP(G94,'Input keuzevariabelen'!$E$11:$I$80,2,FALSE)</f>
        <v>1</v>
      </c>
      <c r="G94" s="156" t="s">
        <v>5</v>
      </c>
      <c r="H94" s="209">
        <f>13333*0.286</f>
        <v>3813.2379999999998</v>
      </c>
      <c r="I94" s="148" t="str">
        <f>VLOOKUP(G94,'Input keuzevariabelen'!$E$11:$I$80,3,FALSE)</f>
        <v>m3</v>
      </c>
      <c r="J94" s="211">
        <f>SUMIFS('Input keuzevariabelen'!$H$11:$H$80,'Input keuzevariabelen'!$E$11:$E$80,Data!G94,'Input keuzevariabelen'!$J$11:$J$80,Data!D94)</f>
        <v>1884</v>
      </c>
      <c r="K94" s="148" t="str">
        <f>VLOOKUP(G94,'Input keuzevariabelen'!$E$11:$I$80,5,FALSE)</f>
        <v>gram CO2/m3</v>
      </c>
      <c r="L94" s="208">
        <f t="shared" si="30"/>
        <v>7184.1403920000002</v>
      </c>
      <c r="M94" s="208">
        <f t="shared" si="31"/>
        <v>7.1841403919999998</v>
      </c>
      <c r="N94" s="148" t="s">
        <v>168</v>
      </c>
      <c r="O94" s="156" t="s">
        <v>101</v>
      </c>
      <c r="P94" s="156" t="s">
        <v>169</v>
      </c>
    </row>
    <row r="95" spans="2:16" ht="18" thickTop="1" thickBot="1" x14ac:dyDescent="0.25">
      <c r="B95" s="183"/>
      <c r="C95" s="183" t="s">
        <v>101</v>
      </c>
      <c r="D95" s="156">
        <v>2020</v>
      </c>
      <c r="E95" s="190" t="s">
        <v>16</v>
      </c>
      <c r="F95" s="147">
        <f>VLOOKUP(G95,'Input keuzevariabelen'!$E$11:$I$80,2,FALSE)</f>
        <v>2</v>
      </c>
      <c r="G95" s="156" t="s">
        <v>29</v>
      </c>
      <c r="H95" s="209">
        <f>295604*0.286</f>
        <v>84542.743999999992</v>
      </c>
      <c r="I95" s="148" t="str">
        <f>VLOOKUP(G95,'Input keuzevariabelen'!$E$11:$I$80,3,FALSE)</f>
        <v>kWh</v>
      </c>
      <c r="J95" s="211">
        <f>SUMIFS('Input keuzevariabelen'!$H$11:$H$80,'Input keuzevariabelen'!$E$11:$E$80,Data!G95,'Input keuzevariabelen'!$J$11:$J$80,Data!D95)</f>
        <v>556</v>
      </c>
      <c r="K95" s="148" t="str">
        <f>VLOOKUP(G95,'Input keuzevariabelen'!$E$11:$I$80,5,FALSE)</f>
        <v>gram CO2/kWh</v>
      </c>
      <c r="L95" s="208">
        <f t="shared" ref="L95" si="34">H95*J95/1000</f>
        <v>47005.765663999999</v>
      </c>
      <c r="M95" s="208">
        <f t="shared" ref="M95" si="35">H95*J95/1000000</f>
        <v>47.005765663999995</v>
      </c>
      <c r="N95" s="148" t="s">
        <v>168</v>
      </c>
      <c r="O95" s="156" t="s">
        <v>101</v>
      </c>
      <c r="P95" s="156" t="s">
        <v>169</v>
      </c>
    </row>
    <row r="96" spans="2:16" s="48" customFormat="1" ht="18" thickTop="1" thickBot="1" x14ac:dyDescent="0.25">
      <c r="B96" s="183"/>
      <c r="C96" s="183" t="s">
        <v>111</v>
      </c>
      <c r="D96" s="186">
        <v>2020</v>
      </c>
      <c r="E96" s="187" t="s">
        <v>16</v>
      </c>
      <c r="F96" s="225">
        <f>VLOOKUP(G96,'[2]Input keuzevariabelen'!$E$11:$I$79,2,FALSE)</f>
        <v>1</v>
      </c>
      <c r="G96" s="156" t="s">
        <v>5</v>
      </c>
      <c r="H96" s="209">
        <f>142688*0.111</f>
        <v>15838.368</v>
      </c>
      <c r="I96" s="226" t="str">
        <f>VLOOKUP(G96,'[2]Input keuzevariabelen'!$E$11:$I$79,3,FALSE)</f>
        <v>m3</v>
      </c>
      <c r="J96" s="211">
        <f>SUMIFS('Input keuzevariabelen'!$H$11:$H$80,'Input keuzevariabelen'!$E$11:$E$80,Data!G96,'Input keuzevariabelen'!$J$11:$J$80,Data!D96)</f>
        <v>1884</v>
      </c>
      <c r="K96" s="226" t="str">
        <f>VLOOKUP(G96,'[2]Input keuzevariabelen'!$E$11:$I$79,5,FALSE)</f>
        <v>gram CO2/m3</v>
      </c>
      <c r="L96" s="227">
        <f>H96*J96/1000</f>
        <v>29839.485312000001</v>
      </c>
      <c r="M96" s="227">
        <f>H96*J96/1000000</f>
        <v>29.839485312000001</v>
      </c>
      <c r="N96" s="156" t="s">
        <v>172</v>
      </c>
      <c r="O96" s="156" t="s">
        <v>111</v>
      </c>
      <c r="P96" s="156" t="s">
        <v>170</v>
      </c>
    </row>
    <row r="97" spans="1:16" s="48" customFormat="1" ht="18" thickTop="1" thickBot="1" x14ac:dyDescent="0.25">
      <c r="B97" s="183"/>
      <c r="C97" s="183" t="s">
        <v>111</v>
      </c>
      <c r="D97" s="186">
        <v>2020</v>
      </c>
      <c r="E97" s="187" t="s">
        <v>16</v>
      </c>
      <c r="F97" s="225">
        <f>VLOOKUP(G97,'[2]Input keuzevariabelen'!$E$11:$I$79,2,FALSE)</f>
        <v>2</v>
      </c>
      <c r="G97" s="156" t="s">
        <v>28</v>
      </c>
      <c r="H97" s="209">
        <f>1271061*0.111</f>
        <v>141087.77100000001</v>
      </c>
      <c r="I97" s="226" t="str">
        <f>VLOOKUP(G97,'[2]Input keuzevariabelen'!$E$11:$I$79,3,FALSE)</f>
        <v>kWh</v>
      </c>
      <c r="J97" s="211">
        <f>SUMIFS('Input keuzevariabelen'!$H$11:$H$80,'Input keuzevariabelen'!$E$11:$E$80,Data!G97,'Input keuzevariabelen'!$J$11:$J$80,Data!D97)</f>
        <v>0</v>
      </c>
      <c r="K97" s="226" t="str">
        <f>VLOOKUP(G97,'[2]Input keuzevariabelen'!$E$11:$I$79,5,FALSE)</f>
        <v>gram CO2/kWh</v>
      </c>
      <c r="L97" s="227">
        <f>H97*J97/1000</f>
        <v>0</v>
      </c>
      <c r="M97" s="227">
        <f>H97*J97/1000000</f>
        <v>0</v>
      </c>
      <c r="N97" s="156" t="s">
        <v>172</v>
      </c>
      <c r="O97" s="156" t="s">
        <v>111</v>
      </c>
      <c r="P97" s="156" t="s">
        <v>170</v>
      </c>
    </row>
    <row r="98" spans="1:16" s="48" customFormat="1" ht="18" thickTop="1" thickBot="1" x14ac:dyDescent="0.25">
      <c r="B98" s="183"/>
      <c r="C98" s="183" t="s">
        <v>111</v>
      </c>
      <c r="D98" s="186">
        <v>2020</v>
      </c>
      <c r="E98" s="187" t="s">
        <v>16</v>
      </c>
      <c r="F98" s="225">
        <f>VLOOKUP(G98,'[2]Input keuzevariabelen'!$E$11:$I$79,2,FALSE)</f>
        <v>2</v>
      </c>
      <c r="G98" s="156" t="s">
        <v>97</v>
      </c>
      <c r="H98" s="209">
        <f>1987*0.111</f>
        <v>220.55700000000002</v>
      </c>
      <c r="I98" s="226" t="str">
        <f>VLOOKUP(G98,'[2]Input keuzevariabelen'!$E$11:$I$79,3,FALSE)</f>
        <v>kWh</v>
      </c>
      <c r="J98" s="211">
        <f>SUMIFS('Input keuzevariabelen'!$H$11:$H$80,'Input keuzevariabelen'!$E$11:$E$80,Data!G98,'Input keuzevariabelen'!$J$11:$J$80,Data!D98)</f>
        <v>556</v>
      </c>
      <c r="K98" s="226" t="str">
        <f>VLOOKUP(G98,'[2]Input keuzevariabelen'!$E$11:$I$79,5,FALSE)</f>
        <v>gram CO2/kWh</v>
      </c>
      <c r="L98" s="227">
        <f t="shared" ref="L98" si="36">H98*J98/1000</f>
        <v>122.62969200000001</v>
      </c>
      <c r="M98" s="227">
        <f t="shared" ref="M98" si="37">H98*J98/1000000</f>
        <v>0.12262969200000001</v>
      </c>
      <c r="N98" s="156" t="s">
        <v>172</v>
      </c>
      <c r="O98" s="156" t="s">
        <v>111</v>
      </c>
      <c r="P98" s="156" t="s">
        <v>170</v>
      </c>
    </row>
    <row r="99" spans="1:16" s="48" customFormat="1" ht="18" thickTop="1" thickBot="1" x14ac:dyDescent="0.25">
      <c r="B99" s="183"/>
      <c r="C99" s="183" t="s">
        <v>111</v>
      </c>
      <c r="D99" s="186">
        <v>2020</v>
      </c>
      <c r="E99" s="187" t="s">
        <v>16</v>
      </c>
      <c r="F99" s="225">
        <f>VLOOKUP(G99,'[2]Input keuzevariabelen'!$E$11:$I$79,2,FALSE)</f>
        <v>1</v>
      </c>
      <c r="G99" s="156" t="s">
        <v>81</v>
      </c>
      <c r="H99" s="209">
        <f>86578*0.111</f>
        <v>9610.1579999999994</v>
      </c>
      <c r="I99" s="226" t="str">
        <f>VLOOKUP(G99,'[2]Input keuzevariabelen'!$E$11:$I$79,3,FALSE)</f>
        <v>liter</v>
      </c>
      <c r="J99" s="211">
        <f>SUMIFS('Input keuzevariabelen'!$H$11:$H$80,'Input keuzevariabelen'!$E$11:$E$80,Data!G99,'Input keuzevariabelen'!$J$11:$J$80,Data!D99)</f>
        <v>3262</v>
      </c>
      <c r="K99" s="226" t="str">
        <f>VLOOKUP(G99,'[2]Input keuzevariabelen'!$E$11:$I$79,5,FALSE)</f>
        <v>gram CO2/liter</v>
      </c>
      <c r="L99" s="227">
        <f>H99*J99/1000</f>
        <v>31348.335395999999</v>
      </c>
      <c r="M99" s="227">
        <f>H99*J99/1000000</f>
        <v>31.348335396</v>
      </c>
      <c r="N99" s="156" t="s">
        <v>171</v>
      </c>
      <c r="O99" s="156" t="s">
        <v>111</v>
      </c>
      <c r="P99" s="156" t="s">
        <v>170</v>
      </c>
    </row>
    <row r="100" spans="1:16" s="48" customFormat="1" ht="18" thickTop="1" thickBot="1" x14ac:dyDescent="0.25">
      <c r="B100" s="183"/>
      <c r="C100" s="183" t="s">
        <v>111</v>
      </c>
      <c r="D100" s="186">
        <v>2020</v>
      </c>
      <c r="E100" s="187" t="s">
        <v>16</v>
      </c>
      <c r="F100" s="225">
        <f>VLOOKUP(G100,'[2]Input keuzevariabelen'!$E$11:$I$79,2,FALSE)</f>
        <v>1</v>
      </c>
      <c r="G100" s="156" t="s">
        <v>82</v>
      </c>
      <c r="H100" s="209">
        <f>2018*0.111</f>
        <v>223.99799999999999</v>
      </c>
      <c r="I100" s="226" t="str">
        <f>VLOOKUP(G100,'[2]Input keuzevariabelen'!$E$11:$I$79,3,FALSE)</f>
        <v>liter</v>
      </c>
      <c r="J100" s="211">
        <f>SUMIFS('Input keuzevariabelen'!$H$11:$H$80,'Input keuzevariabelen'!$E$11:$E$80,Data!G100,'Input keuzevariabelen'!$J$11:$J$80,Data!D100)</f>
        <v>2784</v>
      </c>
      <c r="K100" s="226" t="str">
        <f>VLOOKUP(G100,'[2]Input keuzevariabelen'!$E$11:$I$79,5,FALSE)</f>
        <v>gram CO2/liter</v>
      </c>
      <c r="L100" s="227">
        <f>H100*J100/1000</f>
        <v>623.61043200000006</v>
      </c>
      <c r="M100" s="227">
        <f>H100*J100/1000000</f>
        <v>0.62361043199999999</v>
      </c>
      <c r="N100" s="156" t="s">
        <v>171</v>
      </c>
      <c r="O100" s="156" t="s">
        <v>111</v>
      </c>
      <c r="P100" s="156" t="s">
        <v>170</v>
      </c>
    </row>
    <row r="101" spans="1:16" s="48" customFormat="1" ht="18" thickTop="1" thickBot="1" x14ac:dyDescent="0.25">
      <c r="B101" s="183"/>
      <c r="C101" s="183" t="s">
        <v>111</v>
      </c>
      <c r="D101" s="186">
        <v>2020</v>
      </c>
      <c r="E101" s="187" t="s">
        <v>16</v>
      </c>
      <c r="F101" s="225" t="str">
        <f>VLOOKUP(G101,'[2]Input keuzevariabelen'!$E$11:$I$79,2,FALSE)</f>
        <v>bt</v>
      </c>
      <c r="G101" s="156" t="s">
        <v>12</v>
      </c>
      <c r="H101" s="209">
        <f>(31666/0.19)*0.111</f>
        <v>18499.610526315792</v>
      </c>
      <c r="I101" s="226" t="str">
        <f>VLOOKUP(G101,'[2]Input keuzevariabelen'!$E$11:$I$79,3,FALSE)</f>
        <v>km</v>
      </c>
      <c r="J101" s="211">
        <f>SUMIFS('Input keuzevariabelen'!$H$11:$H$80,'Input keuzevariabelen'!$E$11:$E$80,Data!G101,'Input keuzevariabelen'!$J$11:$J$80,Data!D101)</f>
        <v>195</v>
      </c>
      <c r="K101" s="226" t="str">
        <f>VLOOKUP(G101,'[2]Input keuzevariabelen'!$E$11:$I$79,5,FALSE)</f>
        <v>gram CO2/km</v>
      </c>
      <c r="L101" s="227">
        <f>H101*J101/1000</f>
        <v>3607.4240526315793</v>
      </c>
      <c r="M101" s="227">
        <f>H101*J101/1000000</f>
        <v>3.6074240526315795</v>
      </c>
      <c r="N101" s="156" t="s">
        <v>172</v>
      </c>
      <c r="O101" s="156" t="s">
        <v>111</v>
      </c>
      <c r="P101" s="156" t="s">
        <v>170</v>
      </c>
    </row>
    <row r="102" spans="1:16" s="48" customFormat="1" ht="18" thickTop="1" thickBot="1" x14ac:dyDescent="0.25">
      <c r="B102" s="183"/>
      <c r="C102" s="183" t="s">
        <v>111</v>
      </c>
      <c r="D102" s="186">
        <v>2020</v>
      </c>
      <c r="E102" s="187" t="s">
        <v>16</v>
      </c>
      <c r="F102" s="225" t="str">
        <f>VLOOKUP(G102,'[2]Input keuzevariabelen'!$E$11:$I$79,2,FALSE)</f>
        <v>bt</v>
      </c>
      <c r="G102" s="156" t="s">
        <v>77</v>
      </c>
      <c r="H102" s="209">
        <f>(520/0.15)*0.111</f>
        <v>384.8</v>
      </c>
      <c r="I102" s="226" t="str">
        <f>VLOOKUP(G102,'[2]Input keuzevariabelen'!$E$11:$I$79,3,FALSE)</f>
        <v>km</v>
      </c>
      <c r="J102" s="211">
        <f>SUMIFS('Input keuzevariabelen'!$H$11:$H$80,'Input keuzevariabelen'!$E$11:$E$80,Data!G102,'Input keuzevariabelen'!$J$11:$J$80,Data!D102)</f>
        <v>36</v>
      </c>
      <c r="K102" s="226" t="str">
        <f>VLOOKUP(G102,'[2]Input keuzevariabelen'!$E$11:$I$79,5,FALSE)</f>
        <v>gram CO2/km</v>
      </c>
      <c r="L102" s="227">
        <f>H102*J102/1000</f>
        <v>13.8528</v>
      </c>
      <c r="M102" s="227">
        <f>H102*J102/1000000</f>
        <v>1.3852800000000002E-2</v>
      </c>
      <c r="N102" s="156" t="s">
        <v>172</v>
      </c>
      <c r="O102" s="156" t="s">
        <v>111</v>
      </c>
      <c r="P102" s="156" t="s">
        <v>170</v>
      </c>
    </row>
    <row r="103" spans="1:16" ht="18" thickTop="1" thickBot="1" x14ac:dyDescent="0.25">
      <c r="B103" s="183"/>
      <c r="C103" s="183"/>
      <c r="D103" s="186"/>
      <c r="E103" s="190"/>
      <c r="F103" s="147"/>
      <c r="G103" s="156"/>
      <c r="H103" s="209"/>
      <c r="I103" s="148"/>
      <c r="J103" s="211"/>
      <c r="K103" s="148"/>
      <c r="L103" s="208"/>
      <c r="M103" s="208"/>
      <c r="N103" s="156"/>
      <c r="O103" s="157"/>
      <c r="P103" s="157"/>
    </row>
    <row r="104" spans="1:16" s="43" customFormat="1" ht="18" thickTop="1" thickBot="1" x14ac:dyDescent="0.25">
      <c r="A104" s="13"/>
      <c r="B104" s="183" t="s">
        <v>127</v>
      </c>
      <c r="C104" s="183"/>
      <c r="D104" s="184">
        <v>2021</v>
      </c>
      <c r="E104" s="185" t="s">
        <v>16</v>
      </c>
      <c r="F104" s="147" t="str">
        <f>VLOOKUP(G104,'Input keuzevariabelen'!$E$11:$I$80,2,FALSE)</f>
        <v>KPI</v>
      </c>
      <c r="G104" s="156" t="s">
        <v>94</v>
      </c>
      <c r="H104" s="209">
        <v>668487.79099999997</v>
      </c>
      <c r="I104" s="148">
        <f>VLOOKUP(G104,'Input keuzevariabelen'!$E$11:$I$80,3,FALSE)</f>
        <v>0</v>
      </c>
      <c r="J104" s="211">
        <f>SUMIFS('Input keuzevariabelen'!$H$11:$H$80,'Input keuzevariabelen'!$E$11:$E$80,Data!G104,'Input keuzevariabelen'!$J$11:$J$80,Data!D104)</f>
        <v>0</v>
      </c>
      <c r="K104" s="148">
        <f>VLOOKUP(G104,'Input keuzevariabelen'!$E$11:$I$80,5,FALSE)</f>
        <v>0</v>
      </c>
      <c r="L104" s="208">
        <f t="shared" ref="L104:L135" si="38">H104*J104/1000</f>
        <v>0</v>
      </c>
      <c r="M104" s="208">
        <f t="shared" ref="M104:M135" si="39">H104*J104/1000000</f>
        <v>0</v>
      </c>
      <c r="N104" s="148" t="s">
        <v>155</v>
      </c>
      <c r="O104" s="148"/>
      <c r="P104" s="149" t="s">
        <v>128</v>
      </c>
    </row>
    <row r="105" spans="1:16" s="43" customFormat="1" ht="18" thickTop="1" thickBot="1" x14ac:dyDescent="0.25">
      <c r="A105" s="13"/>
      <c r="B105" s="183" t="s">
        <v>127</v>
      </c>
      <c r="C105" s="183"/>
      <c r="D105" s="184">
        <v>2021</v>
      </c>
      <c r="E105" s="185" t="s">
        <v>16</v>
      </c>
      <c r="F105" s="147" t="str">
        <f>VLOOKUP(G105,'Input keuzevariabelen'!$E$11:$I$80,2,FALSE)</f>
        <v>KPI</v>
      </c>
      <c r="G105" s="156" t="s">
        <v>95</v>
      </c>
      <c r="H105" s="209">
        <v>1733.1279999999999</v>
      </c>
      <c r="I105" s="148">
        <f>VLOOKUP(G105,'Input keuzevariabelen'!$E$11:$I$80,3,FALSE)</f>
        <v>0</v>
      </c>
      <c r="J105" s="211">
        <f>SUMIFS('Input keuzevariabelen'!$H$11:$H$80,'Input keuzevariabelen'!$E$11:$E$80,Data!G105,'Input keuzevariabelen'!$J$11:$J$80,Data!D105)</f>
        <v>0</v>
      </c>
      <c r="K105" s="148">
        <f>VLOOKUP(G105,'Input keuzevariabelen'!$E$11:$I$80,5,FALSE)</f>
        <v>0</v>
      </c>
      <c r="L105" s="208">
        <f t="shared" si="38"/>
        <v>0</v>
      </c>
      <c r="M105" s="208">
        <f t="shared" si="39"/>
        <v>0</v>
      </c>
      <c r="N105" s="148" t="s">
        <v>155</v>
      </c>
      <c r="O105" s="150"/>
      <c r="P105" s="151" t="s">
        <v>129</v>
      </c>
    </row>
    <row r="106" spans="1:16" s="43" customFormat="1" ht="18" thickTop="1" thickBot="1" x14ac:dyDescent="0.25">
      <c r="A106" s="13"/>
      <c r="B106" s="183" t="s">
        <v>127</v>
      </c>
      <c r="C106" s="183"/>
      <c r="D106" s="184">
        <v>2021</v>
      </c>
      <c r="E106" s="185" t="s">
        <v>16</v>
      </c>
      <c r="F106" s="147" t="str">
        <f>VLOOKUP(G106,'Input keuzevariabelen'!$E$11:$I$80,2,FALSE)</f>
        <v>KPI</v>
      </c>
      <c r="G106" s="156" t="s">
        <v>96</v>
      </c>
      <c r="H106" s="209">
        <v>30.728999999999999</v>
      </c>
      <c r="I106" s="148">
        <f>VLOOKUP(G106,'Input keuzevariabelen'!$E$11:$I$80,3,FALSE)</f>
        <v>0</v>
      </c>
      <c r="J106" s="211">
        <f>SUMIFS('Input keuzevariabelen'!$H$11:$H$80,'Input keuzevariabelen'!$E$11:$E$80,Data!G106,'Input keuzevariabelen'!$J$11:$J$80,Data!D106)</f>
        <v>0</v>
      </c>
      <c r="K106" s="148">
        <f>VLOOKUP(G106,'Input keuzevariabelen'!$E$11:$I$80,5,FALSE)</f>
        <v>0</v>
      </c>
      <c r="L106" s="208">
        <f t="shared" ref="L106" si="40">H106*J106/1000</f>
        <v>0</v>
      </c>
      <c r="M106" s="208">
        <f t="shared" ref="M106" si="41">H106*J106/1000000</f>
        <v>0</v>
      </c>
      <c r="N106" s="148" t="s">
        <v>155</v>
      </c>
      <c r="O106" s="150"/>
      <c r="P106" s="151" t="s">
        <v>130</v>
      </c>
    </row>
    <row r="107" spans="1:16" s="43" customFormat="1" ht="18" thickTop="1" thickBot="1" x14ac:dyDescent="0.25">
      <c r="A107" s="13"/>
      <c r="B107" s="183" t="s">
        <v>127</v>
      </c>
      <c r="C107" s="183"/>
      <c r="D107" s="184">
        <v>2021</v>
      </c>
      <c r="E107" s="185" t="s">
        <v>16</v>
      </c>
      <c r="F107" s="147" t="str">
        <f>VLOOKUP(G107,'Input keuzevariabelen'!$E$11:$I$80,2,FALSE)</f>
        <v>KPI</v>
      </c>
      <c r="G107" s="156" t="s">
        <v>226</v>
      </c>
      <c r="H107" s="209">
        <f>150456430/1000</f>
        <v>150456.43</v>
      </c>
      <c r="I107" s="148">
        <f>VLOOKUP(G107,'Input keuzevariabelen'!$E$11:$I$80,3,FALSE)</f>
        <v>0</v>
      </c>
      <c r="J107" s="211">
        <f>SUMIFS('Input keuzevariabelen'!$H$11:$H$80,'Input keuzevariabelen'!$E$11:$E$80,Data!G107,'Input keuzevariabelen'!$J$11:$J$80,Data!D107)</f>
        <v>0</v>
      </c>
      <c r="K107" s="148">
        <f>VLOOKUP(G107,'Input keuzevariabelen'!$E$11:$I$80,5,FALSE)</f>
        <v>0</v>
      </c>
      <c r="L107" s="208">
        <f t="shared" si="38"/>
        <v>0</v>
      </c>
      <c r="M107" s="208">
        <f t="shared" si="39"/>
        <v>0</v>
      </c>
      <c r="N107" s="148" t="s">
        <v>227</v>
      </c>
      <c r="O107" s="150"/>
      <c r="P107" s="151"/>
    </row>
    <row r="108" spans="1:16" s="43" customFormat="1" ht="18" thickTop="1" thickBot="1" x14ac:dyDescent="0.25">
      <c r="A108" s="13"/>
      <c r="B108" s="183" t="s">
        <v>127</v>
      </c>
      <c r="C108" s="183" t="s">
        <v>117</v>
      </c>
      <c r="D108" s="184">
        <v>2021</v>
      </c>
      <c r="E108" s="185" t="s">
        <v>16</v>
      </c>
      <c r="F108" s="147">
        <f>VLOOKUP(G108,'Input keuzevariabelen'!$E$11:$I$80,2,FALSE)</f>
        <v>2</v>
      </c>
      <c r="G108" s="156" t="s">
        <v>28</v>
      </c>
      <c r="H108" s="209">
        <v>5441254</v>
      </c>
      <c r="I108" s="148" t="str">
        <f>VLOOKUP(G108,'Input keuzevariabelen'!$E$11:$I$80,3,FALSE)</f>
        <v>kWh</v>
      </c>
      <c r="J108" s="211">
        <f>SUMIFS('Input keuzevariabelen'!$H$11:$H$80,'Input keuzevariabelen'!$E$11:$E$80,Data!G108,'Input keuzevariabelen'!$J$11:$J$80,Data!D108)</f>
        <v>0</v>
      </c>
      <c r="K108" s="148" t="str">
        <f>VLOOKUP(G108,'Input keuzevariabelen'!$E$11:$I$80,5,FALSE)</f>
        <v>gram CO2/kWh</v>
      </c>
      <c r="L108" s="208">
        <f t="shared" si="38"/>
        <v>0</v>
      </c>
      <c r="M108" s="208">
        <f t="shared" si="39"/>
        <v>0</v>
      </c>
      <c r="N108" s="148" t="s">
        <v>155</v>
      </c>
      <c r="O108" s="150" t="s">
        <v>117</v>
      </c>
      <c r="P108" s="151" t="s">
        <v>132</v>
      </c>
    </row>
    <row r="109" spans="1:16" s="43" customFormat="1" ht="18" thickTop="1" thickBot="1" x14ac:dyDescent="0.25">
      <c r="A109" s="13"/>
      <c r="B109" s="183" t="s">
        <v>127</v>
      </c>
      <c r="C109" s="183" t="s">
        <v>126</v>
      </c>
      <c r="D109" s="184">
        <v>2021</v>
      </c>
      <c r="E109" s="185" t="s">
        <v>16</v>
      </c>
      <c r="F109" s="147">
        <f>VLOOKUP(G109,'Input keuzevariabelen'!$E$11:$I$80,2,FALSE)</f>
        <v>2</v>
      </c>
      <c r="G109" s="156" t="s">
        <v>28</v>
      </c>
      <c r="H109" s="209">
        <v>444195</v>
      </c>
      <c r="I109" s="148" t="str">
        <f>VLOOKUP(G109,'Input keuzevariabelen'!$E$11:$I$80,3,FALSE)</f>
        <v>kWh</v>
      </c>
      <c r="J109" s="211">
        <f>SUMIFS('Input keuzevariabelen'!$H$11:$H$80,'Input keuzevariabelen'!$E$11:$E$80,Data!G109,'Input keuzevariabelen'!$J$11:$J$80,Data!D109)</f>
        <v>0</v>
      </c>
      <c r="K109" s="148" t="str">
        <f>VLOOKUP(G109,'Input keuzevariabelen'!$E$11:$I$80,5,FALSE)</f>
        <v>gram CO2/kWh</v>
      </c>
      <c r="L109" s="208">
        <f t="shared" si="38"/>
        <v>0</v>
      </c>
      <c r="M109" s="208">
        <f t="shared" si="39"/>
        <v>0</v>
      </c>
      <c r="N109" s="148" t="s">
        <v>155</v>
      </c>
      <c r="O109" s="150" t="s">
        <v>126</v>
      </c>
      <c r="P109" s="151" t="s">
        <v>132</v>
      </c>
    </row>
    <row r="110" spans="1:16" s="43" customFormat="1" ht="18" thickTop="1" thickBot="1" x14ac:dyDescent="0.25">
      <c r="A110" s="13"/>
      <c r="B110" s="183" t="s">
        <v>127</v>
      </c>
      <c r="C110" s="183" t="s">
        <v>125</v>
      </c>
      <c r="D110" s="184">
        <v>2021</v>
      </c>
      <c r="E110" s="185" t="s">
        <v>16</v>
      </c>
      <c r="F110" s="147">
        <f>VLOOKUP(G110,'Input keuzevariabelen'!$E$11:$I$80,2,FALSE)</f>
        <v>2</v>
      </c>
      <c r="G110" s="156" t="s">
        <v>28</v>
      </c>
      <c r="H110" s="209">
        <v>2245773</v>
      </c>
      <c r="I110" s="148" t="str">
        <f>VLOOKUP(G110,'Input keuzevariabelen'!$E$11:$I$80,3,FALSE)</f>
        <v>kWh</v>
      </c>
      <c r="J110" s="211">
        <f>SUMIFS('Input keuzevariabelen'!$H$11:$H$80,'Input keuzevariabelen'!$E$11:$E$80,Data!G110,'Input keuzevariabelen'!$J$11:$J$80,Data!D110)</f>
        <v>0</v>
      </c>
      <c r="K110" s="148" t="str">
        <f>VLOOKUP(G110,'Input keuzevariabelen'!$E$11:$I$80,5,FALSE)</f>
        <v>gram CO2/kWh</v>
      </c>
      <c r="L110" s="208">
        <f t="shared" si="38"/>
        <v>0</v>
      </c>
      <c r="M110" s="208">
        <f t="shared" si="39"/>
        <v>0</v>
      </c>
      <c r="N110" s="148" t="s">
        <v>155</v>
      </c>
      <c r="O110" s="150" t="s">
        <v>131</v>
      </c>
      <c r="P110" s="151" t="s">
        <v>132</v>
      </c>
    </row>
    <row r="111" spans="1:16" ht="18" thickTop="1" thickBot="1" x14ac:dyDescent="0.25">
      <c r="B111" s="183" t="s">
        <v>127</v>
      </c>
      <c r="C111" s="183" t="s">
        <v>125</v>
      </c>
      <c r="D111" s="184">
        <v>2021</v>
      </c>
      <c r="E111" s="185" t="s">
        <v>16</v>
      </c>
      <c r="F111" s="147">
        <f>VLOOKUP(G111,'Input keuzevariabelen'!$E$11:$I$80,2,FALSE)</f>
        <v>2</v>
      </c>
      <c r="G111" s="156" t="s">
        <v>28</v>
      </c>
      <c r="H111" s="228">
        <v>15271504</v>
      </c>
      <c r="I111" s="148" t="str">
        <f>VLOOKUP(G111,'Input keuzevariabelen'!$E$11:$I$80,3,FALSE)</f>
        <v>kWh</v>
      </c>
      <c r="J111" s="211">
        <f>SUMIFS('Input keuzevariabelen'!$H$11:$H$80,'Input keuzevariabelen'!$E$11:$E$80,Data!G111,'Input keuzevariabelen'!$J$11:$J$80,Data!D111)</f>
        <v>0</v>
      </c>
      <c r="K111" s="148" t="str">
        <f>VLOOKUP(G111,'Input keuzevariabelen'!$E$11:$I$80,5,FALSE)</f>
        <v>gram CO2/kWh</v>
      </c>
      <c r="L111" s="208">
        <f t="shared" si="38"/>
        <v>0</v>
      </c>
      <c r="M111" s="208">
        <f t="shared" si="39"/>
        <v>0</v>
      </c>
      <c r="N111" s="148" t="s">
        <v>155</v>
      </c>
      <c r="O111" s="153" t="s">
        <v>133</v>
      </c>
      <c r="P111" s="154" t="s">
        <v>132</v>
      </c>
    </row>
    <row r="112" spans="1:16" ht="18" thickTop="1" thickBot="1" x14ac:dyDescent="0.25">
      <c r="B112" s="183" t="s">
        <v>127</v>
      </c>
      <c r="C112" s="183" t="s">
        <v>125</v>
      </c>
      <c r="D112" s="184">
        <v>2021</v>
      </c>
      <c r="E112" s="185" t="s">
        <v>16</v>
      </c>
      <c r="F112" s="147">
        <f>VLOOKUP(G112,'Input keuzevariabelen'!$E$11:$I$80,2,FALSE)</f>
        <v>2</v>
      </c>
      <c r="G112" s="156" t="s">
        <v>28</v>
      </c>
      <c r="H112" s="209">
        <v>8695438</v>
      </c>
      <c r="I112" s="148" t="str">
        <f>VLOOKUP(G112,'Input keuzevariabelen'!$E$11:$I$80,3,FALSE)</f>
        <v>kWh</v>
      </c>
      <c r="J112" s="211">
        <f>SUMIFS('Input keuzevariabelen'!$H$11:$H$80,'Input keuzevariabelen'!$E$11:$E$80,Data!G112,'Input keuzevariabelen'!$J$11:$J$80,Data!D112)</f>
        <v>0</v>
      </c>
      <c r="K112" s="148" t="str">
        <f>VLOOKUP(G112,'Input keuzevariabelen'!$E$11:$I$80,5,FALSE)</f>
        <v>gram CO2/kWh</v>
      </c>
      <c r="L112" s="208">
        <f t="shared" si="38"/>
        <v>0</v>
      </c>
      <c r="M112" s="208">
        <f t="shared" si="39"/>
        <v>0</v>
      </c>
      <c r="N112" s="148" t="s">
        <v>155</v>
      </c>
      <c r="O112" s="153" t="s">
        <v>134</v>
      </c>
      <c r="P112" s="154" t="s">
        <v>132</v>
      </c>
    </row>
    <row r="113" spans="2:16" ht="18" thickTop="1" thickBot="1" x14ac:dyDescent="0.25">
      <c r="B113" s="183" t="s">
        <v>127</v>
      </c>
      <c r="C113" s="183" t="s">
        <v>125</v>
      </c>
      <c r="D113" s="184">
        <v>2021</v>
      </c>
      <c r="E113" s="185" t="s">
        <v>16</v>
      </c>
      <c r="F113" s="147">
        <f>VLOOKUP(G113,'Input keuzevariabelen'!$E$11:$I$80,2,FALSE)</f>
        <v>2</v>
      </c>
      <c r="G113" s="156" t="s">
        <v>28</v>
      </c>
      <c r="H113" s="228">
        <v>37041339</v>
      </c>
      <c r="I113" s="148" t="str">
        <f>VLOOKUP(G113,'Input keuzevariabelen'!$E$11:$I$80,3,FALSE)</f>
        <v>kWh</v>
      </c>
      <c r="J113" s="211">
        <f>SUMIFS('Input keuzevariabelen'!$H$11:$H$80,'Input keuzevariabelen'!$E$11:$E$80,Data!G113,'Input keuzevariabelen'!$J$11:$J$80,Data!D113)</f>
        <v>0</v>
      </c>
      <c r="K113" s="148" t="str">
        <f>VLOOKUP(G113,'Input keuzevariabelen'!$E$11:$I$80,5,FALSE)</f>
        <v>gram CO2/kWh</v>
      </c>
      <c r="L113" s="208">
        <f t="shared" si="38"/>
        <v>0</v>
      </c>
      <c r="M113" s="208">
        <f t="shared" si="39"/>
        <v>0</v>
      </c>
      <c r="N113" s="148" t="s">
        <v>155</v>
      </c>
      <c r="O113" s="156" t="s">
        <v>135</v>
      </c>
      <c r="P113" s="157" t="s">
        <v>132</v>
      </c>
    </row>
    <row r="114" spans="2:16" ht="18" thickTop="1" thickBot="1" x14ac:dyDescent="0.25">
      <c r="B114" s="183" t="s">
        <v>127</v>
      </c>
      <c r="C114" s="183" t="s">
        <v>125</v>
      </c>
      <c r="D114" s="184">
        <v>2021</v>
      </c>
      <c r="E114" s="185" t="s">
        <v>16</v>
      </c>
      <c r="F114" s="147">
        <f>VLOOKUP(G114,'Input keuzevariabelen'!$E$11:$I$80,2,FALSE)</f>
        <v>2</v>
      </c>
      <c r="G114" s="156" t="s">
        <v>28</v>
      </c>
      <c r="H114" s="209">
        <v>34000</v>
      </c>
      <c r="I114" s="148" t="str">
        <f>VLOOKUP(G114,'Input keuzevariabelen'!$E$11:$I$80,3,FALSE)</f>
        <v>kWh</v>
      </c>
      <c r="J114" s="211">
        <f>SUMIFS('Input keuzevariabelen'!$H$11:$H$80,'Input keuzevariabelen'!$E$11:$E$80,Data!G114,'Input keuzevariabelen'!$J$11:$J$80,Data!D114)</f>
        <v>0</v>
      </c>
      <c r="K114" s="148" t="str">
        <f>VLOOKUP(G114,'Input keuzevariabelen'!$E$11:$I$80,5,FALSE)</f>
        <v>gram CO2/kWh</v>
      </c>
      <c r="L114" s="208">
        <f t="shared" si="38"/>
        <v>0</v>
      </c>
      <c r="M114" s="208">
        <f t="shared" si="39"/>
        <v>0</v>
      </c>
      <c r="N114" s="148" t="s">
        <v>155</v>
      </c>
      <c r="O114" s="156" t="s">
        <v>135</v>
      </c>
      <c r="P114" s="157" t="s">
        <v>136</v>
      </c>
    </row>
    <row r="115" spans="2:16" ht="18" thickTop="1" thickBot="1" x14ac:dyDescent="0.25">
      <c r="B115" s="183" t="s">
        <v>127</v>
      </c>
      <c r="C115" s="183" t="s">
        <v>117</v>
      </c>
      <c r="D115" s="184">
        <v>2021</v>
      </c>
      <c r="E115" s="185" t="s">
        <v>16</v>
      </c>
      <c r="F115" s="147">
        <f>VLOOKUP(G115,'Input keuzevariabelen'!$E$11:$I$80,2,FALSE)</f>
        <v>1</v>
      </c>
      <c r="G115" s="156" t="s">
        <v>5</v>
      </c>
      <c r="H115" s="209">
        <v>16562</v>
      </c>
      <c r="I115" s="148" t="str">
        <f>VLOOKUP(G115,'Input keuzevariabelen'!$E$11:$I$80,3,FALSE)</f>
        <v>m3</v>
      </c>
      <c r="J115" s="211">
        <f>SUMIFS('Input keuzevariabelen'!$H$11:$H$80,'Input keuzevariabelen'!$E$11:$E$80,Data!G115,'Input keuzevariabelen'!$J$11:$J$80,Data!D115)</f>
        <v>1884</v>
      </c>
      <c r="K115" s="148" t="str">
        <f>VLOOKUP(G115,'Input keuzevariabelen'!$E$11:$I$80,5,FALSE)</f>
        <v>gram CO2/m3</v>
      </c>
      <c r="L115" s="208">
        <f t="shared" si="38"/>
        <v>31202.808000000001</v>
      </c>
      <c r="M115" s="208">
        <f t="shared" si="39"/>
        <v>31.202808000000001</v>
      </c>
      <c r="N115" s="148" t="s">
        <v>155</v>
      </c>
      <c r="O115" s="153" t="s">
        <v>117</v>
      </c>
      <c r="P115" s="151" t="s">
        <v>137</v>
      </c>
    </row>
    <row r="116" spans="2:16" ht="18" thickTop="1" thickBot="1" x14ac:dyDescent="0.25">
      <c r="B116" s="183" t="s">
        <v>127</v>
      </c>
      <c r="C116" s="183" t="s">
        <v>126</v>
      </c>
      <c r="D116" s="184">
        <v>2021</v>
      </c>
      <c r="E116" s="185" t="s">
        <v>16</v>
      </c>
      <c r="F116" s="147">
        <f>VLOOKUP(G116,'Input keuzevariabelen'!$E$11:$I$80,2,FALSE)</f>
        <v>1</v>
      </c>
      <c r="G116" s="156" t="s">
        <v>5</v>
      </c>
      <c r="H116" s="209">
        <v>80318</v>
      </c>
      <c r="I116" s="148" t="str">
        <f>VLOOKUP(G116,'Input keuzevariabelen'!$E$11:$I$80,3,FALSE)</f>
        <v>m3</v>
      </c>
      <c r="J116" s="211">
        <f>SUMIFS('Input keuzevariabelen'!$H$11:$H$80,'Input keuzevariabelen'!$E$11:$E$80,Data!G116,'Input keuzevariabelen'!$J$11:$J$80,Data!D116)</f>
        <v>1884</v>
      </c>
      <c r="K116" s="148" t="str">
        <f>VLOOKUP(G116,'Input keuzevariabelen'!$E$11:$I$80,5,FALSE)</f>
        <v>gram CO2/m3</v>
      </c>
      <c r="L116" s="208">
        <f t="shared" si="38"/>
        <v>151319.11199999999</v>
      </c>
      <c r="M116" s="208">
        <f t="shared" si="39"/>
        <v>151.31911199999999</v>
      </c>
      <c r="N116" s="148" t="s">
        <v>155</v>
      </c>
      <c r="O116" s="153" t="s">
        <v>126</v>
      </c>
      <c r="P116" s="151" t="s">
        <v>137</v>
      </c>
    </row>
    <row r="117" spans="2:16" ht="18" thickTop="1" thickBot="1" x14ac:dyDescent="0.25">
      <c r="B117" s="183" t="s">
        <v>127</v>
      </c>
      <c r="C117" s="183" t="s">
        <v>125</v>
      </c>
      <c r="D117" s="184">
        <v>2021</v>
      </c>
      <c r="E117" s="185" t="s">
        <v>16</v>
      </c>
      <c r="F117" s="147">
        <f>VLOOKUP(G117,'Input keuzevariabelen'!$E$11:$I$80,2,FALSE)</f>
        <v>1</v>
      </c>
      <c r="G117" s="156" t="s">
        <v>5</v>
      </c>
      <c r="H117" s="209">
        <v>10389</v>
      </c>
      <c r="I117" s="148" t="str">
        <f>VLOOKUP(G117,'Input keuzevariabelen'!$E$11:$I$80,3,FALSE)</f>
        <v>m3</v>
      </c>
      <c r="J117" s="211">
        <f>SUMIFS('Input keuzevariabelen'!$H$11:$H$80,'Input keuzevariabelen'!$E$11:$E$80,Data!G117,'Input keuzevariabelen'!$J$11:$J$80,Data!D117)</f>
        <v>1884</v>
      </c>
      <c r="K117" s="148" t="str">
        <f>VLOOKUP(G117,'Input keuzevariabelen'!$E$11:$I$80,5,FALSE)</f>
        <v>gram CO2/m3</v>
      </c>
      <c r="L117" s="208">
        <f t="shared" si="38"/>
        <v>19572.876</v>
      </c>
      <c r="M117" s="208">
        <f t="shared" si="39"/>
        <v>19.572876000000001</v>
      </c>
      <c r="N117" s="148" t="s">
        <v>155</v>
      </c>
      <c r="O117" s="153" t="s">
        <v>131</v>
      </c>
      <c r="P117" s="154" t="s">
        <v>137</v>
      </c>
    </row>
    <row r="118" spans="2:16" ht="18" thickTop="1" thickBot="1" x14ac:dyDescent="0.25">
      <c r="B118" s="183" t="s">
        <v>127</v>
      </c>
      <c r="C118" s="183" t="s">
        <v>125</v>
      </c>
      <c r="D118" s="184">
        <v>2021</v>
      </c>
      <c r="E118" s="185" t="s">
        <v>16</v>
      </c>
      <c r="F118" s="147">
        <f>VLOOKUP(G118,'Input keuzevariabelen'!$E$11:$I$80,2,FALSE)</f>
        <v>1</v>
      </c>
      <c r="G118" s="156" t="s">
        <v>5</v>
      </c>
      <c r="H118" s="209">
        <v>482075</v>
      </c>
      <c r="I118" s="148" t="str">
        <f>VLOOKUP(G118,'Input keuzevariabelen'!$E$11:$I$80,3,FALSE)</f>
        <v>m3</v>
      </c>
      <c r="J118" s="211">
        <f>SUMIFS('Input keuzevariabelen'!$H$11:$H$80,'Input keuzevariabelen'!$E$11:$E$80,Data!G118,'Input keuzevariabelen'!$J$11:$J$80,Data!D118)</f>
        <v>1884</v>
      </c>
      <c r="K118" s="148" t="str">
        <f>VLOOKUP(G118,'Input keuzevariabelen'!$E$11:$I$80,5,FALSE)</f>
        <v>gram CO2/m3</v>
      </c>
      <c r="L118" s="208">
        <f t="shared" si="38"/>
        <v>908229.3</v>
      </c>
      <c r="M118" s="208">
        <f t="shared" si="39"/>
        <v>908.22929999999997</v>
      </c>
      <c r="N118" s="148" t="s">
        <v>155</v>
      </c>
      <c r="O118" s="148" t="s">
        <v>133</v>
      </c>
      <c r="P118" s="157" t="s">
        <v>137</v>
      </c>
    </row>
    <row r="119" spans="2:16" ht="18" thickTop="1" thickBot="1" x14ac:dyDescent="0.25">
      <c r="B119" s="183" t="s">
        <v>127</v>
      </c>
      <c r="C119" s="183" t="s">
        <v>125</v>
      </c>
      <c r="D119" s="184">
        <v>2021</v>
      </c>
      <c r="E119" s="185" t="s">
        <v>16</v>
      </c>
      <c r="F119" s="147">
        <f>VLOOKUP(G119,'Input keuzevariabelen'!$E$11:$I$80,2,FALSE)</f>
        <v>1</v>
      </c>
      <c r="G119" s="156" t="s">
        <v>5</v>
      </c>
      <c r="H119" s="209">
        <v>421887</v>
      </c>
      <c r="I119" s="148" t="str">
        <f>VLOOKUP(G119,'Input keuzevariabelen'!$E$11:$I$80,3,FALSE)</f>
        <v>m3</v>
      </c>
      <c r="J119" s="211">
        <f>SUMIFS('Input keuzevariabelen'!$H$11:$H$80,'Input keuzevariabelen'!$E$11:$E$80,Data!G119,'Input keuzevariabelen'!$J$11:$J$80,Data!D119)</f>
        <v>1884</v>
      </c>
      <c r="K119" s="148" t="str">
        <f>VLOOKUP(G119,'Input keuzevariabelen'!$E$11:$I$80,5,FALSE)</f>
        <v>gram CO2/m3</v>
      </c>
      <c r="L119" s="208">
        <f t="shared" si="38"/>
        <v>794835.10800000001</v>
      </c>
      <c r="M119" s="208">
        <f t="shared" si="39"/>
        <v>794.83510799999999</v>
      </c>
      <c r="N119" s="148" t="s">
        <v>155</v>
      </c>
      <c r="O119" s="150" t="s">
        <v>134</v>
      </c>
      <c r="P119" s="157" t="s">
        <v>137</v>
      </c>
    </row>
    <row r="120" spans="2:16" ht="18" thickTop="1" thickBot="1" x14ac:dyDescent="0.25">
      <c r="B120" s="183" t="s">
        <v>127</v>
      </c>
      <c r="C120" s="183" t="s">
        <v>125</v>
      </c>
      <c r="D120" s="184">
        <v>2021</v>
      </c>
      <c r="E120" s="185" t="s">
        <v>16</v>
      </c>
      <c r="F120" s="147">
        <f>VLOOKUP(G120,'Input keuzevariabelen'!$E$11:$I$80,2,FALSE)</f>
        <v>1</v>
      </c>
      <c r="G120" s="156" t="s">
        <v>5</v>
      </c>
      <c r="H120" s="209">
        <v>1028829</v>
      </c>
      <c r="I120" s="148" t="str">
        <f>VLOOKUP(G120,'Input keuzevariabelen'!$E$11:$I$80,3,FALSE)</f>
        <v>m3</v>
      </c>
      <c r="J120" s="211">
        <f>SUMIFS('Input keuzevariabelen'!$H$11:$H$80,'Input keuzevariabelen'!$E$11:$E$80,Data!G120,'Input keuzevariabelen'!$J$11:$J$80,Data!D120)</f>
        <v>1884</v>
      </c>
      <c r="K120" s="148" t="str">
        <f>VLOOKUP(G120,'Input keuzevariabelen'!$E$11:$I$80,5,FALSE)</f>
        <v>gram CO2/m3</v>
      </c>
      <c r="L120" s="208">
        <f t="shared" si="38"/>
        <v>1938313.8359999999</v>
      </c>
      <c r="M120" s="208">
        <f t="shared" si="39"/>
        <v>1938.313836</v>
      </c>
      <c r="N120" s="148" t="s">
        <v>155</v>
      </c>
      <c r="O120" s="150" t="s">
        <v>135</v>
      </c>
      <c r="P120" s="157" t="s">
        <v>137</v>
      </c>
    </row>
    <row r="121" spans="2:16" ht="18" thickTop="1" thickBot="1" x14ac:dyDescent="0.25">
      <c r="B121" s="183" t="s">
        <v>127</v>
      </c>
      <c r="C121" s="183" t="s">
        <v>125</v>
      </c>
      <c r="D121" s="184">
        <v>2021</v>
      </c>
      <c r="E121" s="185" t="s">
        <v>16</v>
      </c>
      <c r="F121" s="147" t="str">
        <f>VLOOKUP(G121,'Input keuzevariabelen'!$E$11:$I$80,2,FALSE)</f>
        <v>Memo</v>
      </c>
      <c r="G121" s="156" t="s">
        <v>84</v>
      </c>
      <c r="H121" s="209">
        <v>6540</v>
      </c>
      <c r="I121" s="148" t="str">
        <f>VLOOKUP(G121,'Input keuzevariabelen'!$E$11:$I$80,3,FALSE)</f>
        <v>m3</v>
      </c>
      <c r="J121" s="211">
        <f>SUMIFS('Input keuzevariabelen'!$H$11:$H$80,'Input keuzevariabelen'!$E$11:$E$80,Data!G121,'Input keuzevariabelen'!$J$11:$J$80,Data!D121)</f>
        <v>1962</v>
      </c>
      <c r="K121" s="148" t="str">
        <f>VLOOKUP(G121,'Input keuzevariabelen'!$E$11:$I$80,5,FALSE)</f>
        <v>gram CO2/m3</v>
      </c>
      <c r="L121" s="208">
        <f t="shared" si="38"/>
        <v>12831.48</v>
      </c>
      <c r="M121" s="208">
        <f t="shared" si="39"/>
        <v>12.831480000000001</v>
      </c>
      <c r="N121" s="148" t="s">
        <v>155</v>
      </c>
      <c r="O121" s="150" t="s">
        <v>131</v>
      </c>
      <c r="P121" s="157" t="s">
        <v>138</v>
      </c>
    </row>
    <row r="122" spans="2:16" ht="18" thickTop="1" thickBot="1" x14ac:dyDescent="0.25">
      <c r="B122" s="183" t="s">
        <v>127</v>
      </c>
      <c r="C122" s="183" t="s">
        <v>125</v>
      </c>
      <c r="D122" s="184">
        <v>2021</v>
      </c>
      <c r="E122" s="185" t="s">
        <v>16</v>
      </c>
      <c r="F122" s="147" t="str">
        <f>VLOOKUP(G122,'Input keuzevariabelen'!$E$11:$I$80,2,FALSE)</f>
        <v>Memo</v>
      </c>
      <c r="G122" s="156" t="s">
        <v>84</v>
      </c>
      <c r="H122" s="209">
        <v>38322</v>
      </c>
      <c r="I122" s="148" t="str">
        <f>VLOOKUP(G122,'Input keuzevariabelen'!$E$11:$I$80,3,FALSE)</f>
        <v>m3</v>
      </c>
      <c r="J122" s="211">
        <f>SUMIFS('Input keuzevariabelen'!$H$11:$H$80,'Input keuzevariabelen'!$E$11:$E$80,Data!G122,'Input keuzevariabelen'!$J$11:$J$80,Data!D122)</f>
        <v>1962</v>
      </c>
      <c r="K122" s="148" t="str">
        <f>VLOOKUP(G122,'Input keuzevariabelen'!$E$11:$I$80,5,FALSE)</f>
        <v>gram CO2/m3</v>
      </c>
      <c r="L122" s="208">
        <f t="shared" si="38"/>
        <v>75187.763999999996</v>
      </c>
      <c r="M122" s="208">
        <f t="shared" si="39"/>
        <v>75.187764000000001</v>
      </c>
      <c r="N122" s="148" t="s">
        <v>155</v>
      </c>
      <c r="O122" s="150" t="s">
        <v>133</v>
      </c>
      <c r="P122" s="157" t="s">
        <v>138</v>
      </c>
    </row>
    <row r="123" spans="2:16" ht="18" thickTop="1" thickBot="1" x14ac:dyDescent="0.25">
      <c r="B123" s="183" t="s">
        <v>127</v>
      </c>
      <c r="C123" s="183" t="s">
        <v>125</v>
      </c>
      <c r="D123" s="184">
        <v>2021</v>
      </c>
      <c r="E123" s="185" t="s">
        <v>16</v>
      </c>
      <c r="F123" s="147" t="str">
        <f>VLOOKUP(G123,'Input keuzevariabelen'!$E$11:$I$80,2,FALSE)</f>
        <v>Memo</v>
      </c>
      <c r="G123" s="156" t="s">
        <v>84</v>
      </c>
      <c r="H123" s="209">
        <v>80939.082679400002</v>
      </c>
      <c r="I123" s="148" t="str">
        <f>VLOOKUP(G123,'Input keuzevariabelen'!$E$11:$I$80,3,FALSE)</f>
        <v>m3</v>
      </c>
      <c r="J123" s="211">
        <f>SUMIFS('Input keuzevariabelen'!$H$11:$H$80,'Input keuzevariabelen'!$E$11:$E$80,Data!G123,'Input keuzevariabelen'!$J$11:$J$80,Data!D123)</f>
        <v>1962</v>
      </c>
      <c r="K123" s="148" t="str">
        <f>VLOOKUP(G123,'Input keuzevariabelen'!$E$11:$I$80,5,FALSE)</f>
        <v>gram CO2/m3</v>
      </c>
      <c r="L123" s="208">
        <f t="shared" si="38"/>
        <v>158802.4802169828</v>
      </c>
      <c r="M123" s="208">
        <f t="shared" si="39"/>
        <v>158.80248021698281</v>
      </c>
      <c r="N123" s="148" t="s">
        <v>155</v>
      </c>
      <c r="O123" s="156" t="s">
        <v>134</v>
      </c>
      <c r="P123" s="157" t="s">
        <v>138</v>
      </c>
    </row>
    <row r="124" spans="2:16" ht="18" thickTop="1" thickBot="1" x14ac:dyDescent="0.25">
      <c r="B124" s="183" t="s">
        <v>127</v>
      </c>
      <c r="C124" s="183" t="s">
        <v>125</v>
      </c>
      <c r="D124" s="184">
        <v>2021</v>
      </c>
      <c r="E124" s="185" t="s">
        <v>16</v>
      </c>
      <c r="F124" s="147" t="str">
        <f>VLOOKUP(G124,'Input keuzevariabelen'!$E$11:$I$80,2,FALSE)</f>
        <v>Memo</v>
      </c>
      <c r="G124" s="156" t="s">
        <v>84</v>
      </c>
      <c r="H124" s="209">
        <v>24692</v>
      </c>
      <c r="I124" s="148" t="str">
        <f>VLOOKUP(G124,'Input keuzevariabelen'!$E$11:$I$80,3,FALSE)</f>
        <v>m3</v>
      </c>
      <c r="J124" s="211">
        <f>SUMIFS('Input keuzevariabelen'!$H$11:$H$80,'Input keuzevariabelen'!$E$11:$E$80,Data!G124,'Input keuzevariabelen'!$J$11:$J$80,Data!D124)</f>
        <v>1962</v>
      </c>
      <c r="K124" s="148" t="str">
        <f>VLOOKUP(G124,'Input keuzevariabelen'!$E$11:$I$80,5,FALSE)</f>
        <v>gram CO2/m3</v>
      </c>
      <c r="L124" s="208">
        <f t="shared" si="38"/>
        <v>48445.703999999998</v>
      </c>
      <c r="M124" s="208">
        <f t="shared" si="39"/>
        <v>48.445703999999999</v>
      </c>
      <c r="N124" s="148" t="s">
        <v>155</v>
      </c>
      <c r="O124" s="156" t="s">
        <v>135</v>
      </c>
      <c r="P124" s="154" t="s">
        <v>138</v>
      </c>
    </row>
    <row r="125" spans="2:16" s="48" customFormat="1" ht="18" thickTop="1" thickBot="1" x14ac:dyDescent="0.25">
      <c r="B125" s="183" t="s">
        <v>127</v>
      </c>
      <c r="C125" s="183" t="s">
        <v>125</v>
      </c>
      <c r="D125" s="184">
        <v>2021</v>
      </c>
      <c r="E125" s="185" t="s">
        <v>16</v>
      </c>
      <c r="F125" s="147" t="str">
        <f>VLOOKUP(G125,'Input keuzevariabelen'!$E$11:$I$80,2,FALSE)</f>
        <v>Memo</v>
      </c>
      <c r="G125" s="156" t="s">
        <v>108</v>
      </c>
      <c r="H125" s="209">
        <v>527432</v>
      </c>
      <c r="I125" s="148" t="str">
        <f>VLOOKUP(G125,'Input keuzevariabelen'!$E$11:$I$80,3,FALSE)</f>
        <v>m3</v>
      </c>
      <c r="J125" s="211">
        <f>SUMIFS('Input keuzevariabelen'!$H$11:$H$80,'Input keuzevariabelen'!$E$11:$E$80,Data!G125,'Input keuzevariabelen'!$J$11:$J$80,Data!D125)</f>
        <v>1962</v>
      </c>
      <c r="K125" s="148" t="str">
        <f>VLOOKUP(G125,'Input keuzevariabelen'!$E$11:$I$80,5,FALSE)</f>
        <v>gram CO2/m3</v>
      </c>
      <c r="L125" s="208">
        <f t="shared" si="38"/>
        <v>1034821.584</v>
      </c>
      <c r="M125" s="208">
        <f t="shared" si="39"/>
        <v>1034.821584</v>
      </c>
      <c r="N125" s="148" t="s">
        <v>155</v>
      </c>
      <c r="O125" s="150" t="s">
        <v>131</v>
      </c>
      <c r="P125" s="154" t="s">
        <v>139</v>
      </c>
    </row>
    <row r="126" spans="2:16" s="48" customFormat="1" ht="18" thickTop="1" thickBot="1" x14ac:dyDescent="0.25">
      <c r="B126" s="183" t="s">
        <v>127</v>
      </c>
      <c r="C126" s="183" t="s">
        <v>125</v>
      </c>
      <c r="D126" s="184">
        <v>2021</v>
      </c>
      <c r="E126" s="185" t="s">
        <v>16</v>
      </c>
      <c r="F126" s="147" t="str">
        <f>VLOOKUP(G126,'Input keuzevariabelen'!$E$11:$I$80,2,FALSE)</f>
        <v>Memo</v>
      </c>
      <c r="G126" s="156" t="s">
        <v>108</v>
      </c>
      <c r="H126" s="209">
        <v>202393</v>
      </c>
      <c r="I126" s="148" t="str">
        <f>VLOOKUP(G126,'Input keuzevariabelen'!$E$11:$I$80,3,FALSE)</f>
        <v>m3</v>
      </c>
      <c r="J126" s="211">
        <f>SUMIFS('Input keuzevariabelen'!$H$11:$H$80,'Input keuzevariabelen'!$E$11:$E$80,Data!G126,'Input keuzevariabelen'!$J$11:$J$80,Data!D126)</f>
        <v>1962</v>
      </c>
      <c r="K126" s="148" t="str">
        <f>VLOOKUP(G126,'Input keuzevariabelen'!$E$11:$I$80,5,FALSE)</f>
        <v>gram CO2/m3</v>
      </c>
      <c r="L126" s="208">
        <f t="shared" si="38"/>
        <v>397095.06599999999</v>
      </c>
      <c r="M126" s="208">
        <f t="shared" si="39"/>
        <v>397.09506599999997</v>
      </c>
      <c r="N126" s="148" t="s">
        <v>155</v>
      </c>
      <c r="O126" s="150" t="s">
        <v>133</v>
      </c>
      <c r="P126" s="154" t="s">
        <v>139</v>
      </c>
    </row>
    <row r="127" spans="2:16" ht="18" thickTop="1" thickBot="1" x14ac:dyDescent="0.25">
      <c r="B127" s="183" t="s">
        <v>127</v>
      </c>
      <c r="C127" s="183" t="s">
        <v>125</v>
      </c>
      <c r="D127" s="186">
        <v>2021</v>
      </c>
      <c r="E127" s="187" t="s">
        <v>16</v>
      </c>
      <c r="F127" s="147" t="str">
        <f>VLOOKUP(G127,'Input keuzevariabelen'!$E$11:$I$80,2,FALSE)</f>
        <v>Memo</v>
      </c>
      <c r="G127" s="156" t="s">
        <v>108</v>
      </c>
      <c r="H127" s="209">
        <v>316662</v>
      </c>
      <c r="I127" s="148" t="str">
        <f>VLOOKUP(G127,'Input keuzevariabelen'!$E$11:$I$80,3,FALSE)</f>
        <v>m3</v>
      </c>
      <c r="J127" s="211">
        <f>SUMIFS('Input keuzevariabelen'!$H$11:$H$80,'Input keuzevariabelen'!$E$11:$E$80,Data!G127,'Input keuzevariabelen'!$J$11:$J$80,Data!D127)</f>
        <v>1962</v>
      </c>
      <c r="K127" s="148" t="str">
        <f>VLOOKUP(G127,'Input keuzevariabelen'!$E$11:$I$80,5,FALSE)</f>
        <v>gram CO2/m3</v>
      </c>
      <c r="L127" s="208">
        <f t="shared" si="38"/>
        <v>621290.84400000004</v>
      </c>
      <c r="M127" s="208">
        <f t="shared" si="39"/>
        <v>621.29084399999999</v>
      </c>
      <c r="N127" s="148" t="s">
        <v>155</v>
      </c>
      <c r="O127" s="156" t="s">
        <v>135</v>
      </c>
      <c r="P127" s="157" t="s">
        <v>139</v>
      </c>
    </row>
    <row r="128" spans="2:16" ht="18" thickTop="1" thickBot="1" x14ac:dyDescent="0.25">
      <c r="B128" s="183" t="s">
        <v>127</v>
      </c>
      <c r="C128" s="183" t="s">
        <v>125</v>
      </c>
      <c r="D128" s="186">
        <v>2021</v>
      </c>
      <c r="E128" s="187" t="s">
        <v>16</v>
      </c>
      <c r="F128" s="147">
        <f>VLOOKUP(G128,'Input keuzevariabelen'!$E$11:$I$80,2,FALSE)</f>
        <v>1</v>
      </c>
      <c r="G128" s="156" t="s">
        <v>81</v>
      </c>
      <c r="H128" s="209">
        <v>868</v>
      </c>
      <c r="I128" s="148" t="str">
        <f>VLOOKUP(G128,'Input keuzevariabelen'!$E$11:$I$80,3,FALSE)</f>
        <v>liter</v>
      </c>
      <c r="J128" s="211">
        <f>SUMIFS('Input keuzevariabelen'!$H$11:$H$80,'Input keuzevariabelen'!$E$11:$E$80,Data!G128,'Input keuzevariabelen'!$J$11:$J$80,Data!D128)</f>
        <v>3262</v>
      </c>
      <c r="K128" s="148" t="str">
        <f>VLOOKUP(G128,'Input keuzevariabelen'!$E$11:$I$80,5,FALSE)</f>
        <v>gram CO2/liter</v>
      </c>
      <c r="L128" s="208">
        <f t="shared" si="38"/>
        <v>2831.4160000000002</v>
      </c>
      <c r="M128" s="208">
        <f t="shared" si="39"/>
        <v>2.8314159999999999</v>
      </c>
      <c r="N128" s="148" t="s">
        <v>155</v>
      </c>
      <c r="O128" s="156" t="s">
        <v>135</v>
      </c>
      <c r="P128" s="157" t="s">
        <v>140</v>
      </c>
    </row>
    <row r="129" spans="2:16" ht="18" thickTop="1" thickBot="1" x14ac:dyDescent="0.25">
      <c r="B129" s="183" t="s">
        <v>127</v>
      </c>
      <c r="C129" s="183" t="s">
        <v>126</v>
      </c>
      <c r="D129" s="186">
        <v>2021</v>
      </c>
      <c r="E129" s="190" t="s">
        <v>16</v>
      </c>
      <c r="F129" s="147">
        <f>VLOOKUP(G129,'Input keuzevariabelen'!$E$11:$I$80,2,FALSE)</f>
        <v>1</v>
      </c>
      <c r="G129" s="156" t="s">
        <v>82</v>
      </c>
      <c r="H129" s="209">
        <v>29034</v>
      </c>
      <c r="I129" s="148" t="str">
        <f>VLOOKUP(G129,'Input keuzevariabelen'!$E$11:$I$80,3,FALSE)</f>
        <v>liter</v>
      </c>
      <c r="J129" s="211">
        <f>SUMIFS('Input keuzevariabelen'!$H$11:$H$80,'Input keuzevariabelen'!$E$11:$E$80,Data!G129,'Input keuzevariabelen'!$J$11:$J$80,Data!D129)</f>
        <v>2784</v>
      </c>
      <c r="K129" s="148" t="str">
        <f>VLOOKUP(G129,'Input keuzevariabelen'!$E$11:$I$80,5,FALSE)</f>
        <v>gram CO2/liter</v>
      </c>
      <c r="L129" s="208">
        <f t="shared" si="38"/>
        <v>80830.656000000003</v>
      </c>
      <c r="M129" s="208">
        <f t="shared" si="39"/>
        <v>80.830656000000005</v>
      </c>
      <c r="N129" s="148" t="s">
        <v>156</v>
      </c>
      <c r="O129" s="157"/>
      <c r="P129" s="157"/>
    </row>
    <row r="130" spans="2:16" ht="18" thickTop="1" thickBot="1" x14ac:dyDescent="0.25">
      <c r="B130" s="183" t="s">
        <v>127</v>
      </c>
      <c r="C130" s="183" t="s">
        <v>126</v>
      </c>
      <c r="D130" s="186">
        <v>2021</v>
      </c>
      <c r="E130" s="190" t="s">
        <v>16</v>
      </c>
      <c r="F130" s="147">
        <f>VLOOKUP(G130,'Input keuzevariabelen'!$E$11:$I$80,2,FALSE)</f>
        <v>1</v>
      </c>
      <c r="G130" s="156" t="s">
        <v>81</v>
      </c>
      <c r="H130" s="209">
        <v>27084</v>
      </c>
      <c r="I130" s="148" t="str">
        <f>VLOOKUP(G130,'Input keuzevariabelen'!$E$11:$I$80,3,FALSE)</f>
        <v>liter</v>
      </c>
      <c r="J130" s="211">
        <f>SUMIFS('Input keuzevariabelen'!$H$11:$H$80,'Input keuzevariabelen'!$E$11:$E$80,Data!G130,'Input keuzevariabelen'!$J$11:$J$80,Data!D130)</f>
        <v>3262</v>
      </c>
      <c r="K130" s="148" t="str">
        <f>VLOOKUP(G130,'Input keuzevariabelen'!$E$11:$I$80,5,FALSE)</f>
        <v>gram CO2/liter</v>
      </c>
      <c r="L130" s="208">
        <f t="shared" ref="L130" si="42">H130*J130/1000</f>
        <v>88348.008000000002</v>
      </c>
      <c r="M130" s="208">
        <f t="shared" ref="M130" si="43">H130*J130/1000000</f>
        <v>88.348007999999993</v>
      </c>
      <c r="N130" s="148" t="s">
        <v>156</v>
      </c>
      <c r="O130" s="157"/>
      <c r="P130" s="157"/>
    </row>
    <row r="131" spans="2:16" ht="18" thickTop="1" thickBot="1" x14ac:dyDescent="0.25">
      <c r="B131" s="183" t="s">
        <v>127</v>
      </c>
      <c r="C131" s="183" t="s">
        <v>126</v>
      </c>
      <c r="D131" s="186">
        <v>2021</v>
      </c>
      <c r="E131" s="190" t="s">
        <v>16</v>
      </c>
      <c r="F131" s="147" t="str">
        <f>VLOOKUP(G131,'Input keuzevariabelen'!$E$11:$I$80,2,FALSE)</f>
        <v>bt</v>
      </c>
      <c r="G131" s="156" t="s">
        <v>12</v>
      </c>
      <c r="H131" s="209">
        <v>171132</v>
      </c>
      <c r="I131" s="148" t="str">
        <f>VLOOKUP(G131,'Input keuzevariabelen'!$E$11:$I$80,3,FALSE)</f>
        <v>km</v>
      </c>
      <c r="J131" s="211">
        <f>SUMIFS('Input keuzevariabelen'!$H$11:$H$80,'Input keuzevariabelen'!$E$11:$E$80,Data!G131,'Input keuzevariabelen'!$J$11:$J$80,Data!D131)</f>
        <v>195</v>
      </c>
      <c r="K131" s="148" t="str">
        <f>VLOOKUP(G131,'Input keuzevariabelen'!$E$11:$I$80,5,FALSE)</f>
        <v>gram CO2/km</v>
      </c>
      <c r="L131" s="208">
        <f t="shared" si="38"/>
        <v>33370.74</v>
      </c>
      <c r="M131" s="208">
        <f t="shared" si="39"/>
        <v>33.370739999999998</v>
      </c>
      <c r="N131" s="148" t="s">
        <v>156</v>
      </c>
      <c r="O131" s="157"/>
      <c r="P131" s="157"/>
    </row>
    <row r="132" spans="2:16" ht="18" thickTop="1" thickBot="1" x14ac:dyDescent="0.25">
      <c r="B132" s="183" t="s">
        <v>127</v>
      </c>
      <c r="C132" s="183" t="s">
        <v>126</v>
      </c>
      <c r="D132" s="186">
        <v>2021</v>
      </c>
      <c r="E132" s="190" t="s">
        <v>16</v>
      </c>
      <c r="F132" s="147" t="str">
        <f>VLOOKUP(G132,'Input keuzevariabelen'!$E$11:$I$80,2,FALSE)</f>
        <v>bt</v>
      </c>
      <c r="G132" s="156" t="s">
        <v>77</v>
      </c>
      <c r="H132" s="209">
        <v>133645</v>
      </c>
      <c r="I132" s="148" t="str">
        <f>VLOOKUP(G132,'Input keuzevariabelen'!$E$11:$I$80,3,FALSE)</f>
        <v>km</v>
      </c>
      <c r="J132" s="211">
        <f>SUMIFS('Input keuzevariabelen'!$H$11:$H$80,'Input keuzevariabelen'!$E$11:$E$80,Data!G132,'Input keuzevariabelen'!$J$11:$J$80,Data!D132)</f>
        <v>15</v>
      </c>
      <c r="K132" s="148" t="str">
        <f>VLOOKUP(G132,'Input keuzevariabelen'!$E$11:$I$80,5,FALSE)</f>
        <v>gram CO2/km</v>
      </c>
      <c r="L132" s="208">
        <f t="shared" ref="L132" si="44">H132*J132/1000</f>
        <v>2004.675</v>
      </c>
      <c r="M132" s="208">
        <f t="shared" ref="M132" si="45">H132*J132/1000000</f>
        <v>2.0046750000000002</v>
      </c>
      <c r="N132" s="148" t="s">
        <v>156</v>
      </c>
      <c r="O132" s="157"/>
      <c r="P132" s="157"/>
    </row>
    <row r="133" spans="2:16" ht="18" thickTop="1" thickBot="1" x14ac:dyDescent="0.25">
      <c r="B133" s="183" t="s">
        <v>127</v>
      </c>
      <c r="C133" s="183" t="s">
        <v>126</v>
      </c>
      <c r="D133" s="186">
        <v>2021</v>
      </c>
      <c r="E133" s="190" t="s">
        <v>16</v>
      </c>
      <c r="F133" s="147" t="str">
        <f>VLOOKUP(G133,'Input keuzevariabelen'!$E$11:$I$80,2,FALSE)</f>
        <v>bt</v>
      </c>
      <c r="G133" s="156" t="s">
        <v>75</v>
      </c>
      <c r="H133" s="209">
        <v>5006</v>
      </c>
      <c r="I133" s="148" t="str">
        <f>VLOOKUP(G133,'Input keuzevariabelen'!$E$11:$I$80,3,FALSE)</f>
        <v>km</v>
      </c>
      <c r="J133" s="211">
        <f>SUMIFS('Input keuzevariabelen'!$H$11:$H$80,'Input keuzevariabelen'!$E$11:$E$80,Data!G133,'Input keuzevariabelen'!$J$11:$J$80,Data!D133)</f>
        <v>200</v>
      </c>
      <c r="K133" s="148" t="str">
        <f>VLOOKUP(G133,'Input keuzevariabelen'!$E$11:$I$80,5,FALSE)</f>
        <v>gram CO2/km</v>
      </c>
      <c r="L133" s="208">
        <f t="shared" si="38"/>
        <v>1001.2</v>
      </c>
      <c r="M133" s="208">
        <f t="shared" si="39"/>
        <v>1.0012000000000001</v>
      </c>
      <c r="N133" s="148" t="s">
        <v>156</v>
      </c>
      <c r="O133" s="157"/>
      <c r="P133" s="157"/>
    </row>
    <row r="134" spans="2:16" ht="18" thickTop="1" thickBot="1" x14ac:dyDescent="0.25">
      <c r="B134" s="183"/>
      <c r="C134" s="183" t="s">
        <v>112</v>
      </c>
      <c r="D134" s="186">
        <v>2021</v>
      </c>
      <c r="E134" s="190" t="s">
        <v>16</v>
      </c>
      <c r="F134" s="147">
        <f>VLOOKUP(G134,'Input keuzevariabelen'!$E$11:$I$80,2,FALSE)</f>
        <v>1</v>
      </c>
      <c r="G134" s="156" t="s">
        <v>5</v>
      </c>
      <c r="H134" s="209">
        <f>302328*0.125</f>
        <v>37791</v>
      </c>
      <c r="I134" s="148" t="str">
        <f>VLOOKUP(G134,'Input keuzevariabelen'!$E$11:$I$80,3,FALSE)</f>
        <v>m3</v>
      </c>
      <c r="J134" s="211">
        <f>SUMIFS('Input keuzevariabelen'!$H$11:$H$80,'Input keuzevariabelen'!$E$11:$E$80,Data!G134,'Input keuzevariabelen'!$J$11:$J$80,Data!D134)</f>
        <v>1884</v>
      </c>
      <c r="K134" s="148" t="str">
        <f>VLOOKUP(G134,'Input keuzevariabelen'!$E$11:$I$80,5,FALSE)</f>
        <v>gram CO2/m3</v>
      </c>
      <c r="L134" s="208">
        <f t="shared" ref="L134" si="46">H134*J134/1000</f>
        <v>71198.244000000006</v>
      </c>
      <c r="M134" s="208">
        <f t="shared" ref="M134" si="47">H134*J134/1000000</f>
        <v>71.198244000000003</v>
      </c>
      <c r="N134" s="156" t="s">
        <v>166</v>
      </c>
      <c r="O134" s="157" t="s">
        <v>112</v>
      </c>
      <c r="P134" s="157" t="s">
        <v>165</v>
      </c>
    </row>
    <row r="135" spans="2:16" ht="18" thickTop="1" thickBot="1" x14ac:dyDescent="0.25">
      <c r="B135" s="183"/>
      <c r="C135" s="183" t="s">
        <v>112</v>
      </c>
      <c r="D135" s="186">
        <v>2021</v>
      </c>
      <c r="E135" s="190" t="s">
        <v>16</v>
      </c>
      <c r="F135" s="147">
        <f>VLOOKUP(G135,'Input keuzevariabelen'!$E$11:$I$80,2,FALSE)</f>
        <v>2</v>
      </c>
      <c r="G135" s="156" t="s">
        <v>28</v>
      </c>
      <c r="H135" s="209">
        <f>23000000*0.125</f>
        <v>2875000</v>
      </c>
      <c r="I135" s="148" t="str">
        <f>VLOOKUP(G135,'Input keuzevariabelen'!$E$11:$I$80,3,FALSE)</f>
        <v>kWh</v>
      </c>
      <c r="J135" s="211">
        <f>SUMIFS('Input keuzevariabelen'!$H$11:$H$80,'Input keuzevariabelen'!$E$11:$E$80,Data!G135,'Input keuzevariabelen'!$J$11:$J$80,Data!D135)</f>
        <v>0</v>
      </c>
      <c r="K135" s="148" t="str">
        <f>VLOOKUP(G135,'Input keuzevariabelen'!$E$11:$I$80,5,FALSE)</f>
        <v>gram CO2/kWh</v>
      </c>
      <c r="L135" s="208">
        <f t="shared" si="38"/>
        <v>0</v>
      </c>
      <c r="M135" s="208">
        <f t="shared" si="39"/>
        <v>0</v>
      </c>
      <c r="N135" s="156" t="s">
        <v>166</v>
      </c>
      <c r="O135" s="157" t="s">
        <v>112</v>
      </c>
      <c r="P135" s="157" t="s">
        <v>165</v>
      </c>
    </row>
    <row r="136" spans="2:16" ht="18" thickTop="1" thickBot="1" x14ac:dyDescent="0.25">
      <c r="B136" s="183"/>
      <c r="C136" s="183" t="s">
        <v>101</v>
      </c>
      <c r="D136" s="186">
        <v>2021</v>
      </c>
      <c r="E136" s="190" t="s">
        <v>16</v>
      </c>
      <c r="F136" s="147">
        <f>VLOOKUP(G136,'Input keuzevariabelen'!$E$11:$I$80,2,FALSE)</f>
        <v>1</v>
      </c>
      <c r="G136" s="156" t="s">
        <v>5</v>
      </c>
      <c r="H136" s="209">
        <f>13815*0.286</f>
        <v>3951.0899999999997</v>
      </c>
      <c r="I136" s="148" t="str">
        <f>VLOOKUP(G136,'Input keuzevariabelen'!$E$11:$I$80,3,FALSE)</f>
        <v>m3</v>
      </c>
      <c r="J136" s="211">
        <f>SUMIFS('Input keuzevariabelen'!$H$11:$H$80,'Input keuzevariabelen'!$E$11:$E$80,Data!G136,'Input keuzevariabelen'!$J$11:$J$80,Data!D136)</f>
        <v>1884</v>
      </c>
      <c r="K136" s="148" t="str">
        <f>VLOOKUP(G136,'Input keuzevariabelen'!$E$11:$I$80,5,FALSE)</f>
        <v>gram CO2/m3</v>
      </c>
      <c r="L136" s="208">
        <f t="shared" si="30"/>
        <v>7443.8535599999996</v>
      </c>
      <c r="M136" s="208">
        <f t="shared" si="31"/>
        <v>7.44385356</v>
      </c>
      <c r="N136" s="148" t="s">
        <v>168</v>
      </c>
      <c r="O136" s="156" t="s">
        <v>101</v>
      </c>
      <c r="P136" s="156" t="s">
        <v>169</v>
      </c>
    </row>
    <row r="137" spans="2:16" ht="18" thickTop="1" thickBot="1" x14ac:dyDescent="0.25">
      <c r="B137" s="183"/>
      <c r="C137" s="183" t="s">
        <v>101</v>
      </c>
      <c r="D137" s="186">
        <v>2021</v>
      </c>
      <c r="E137" s="190" t="s">
        <v>16</v>
      </c>
      <c r="F137" s="147">
        <f>VLOOKUP(G137,'Input keuzevariabelen'!$E$11:$I$80,2,FALSE)</f>
        <v>2</v>
      </c>
      <c r="G137" s="156" t="s">
        <v>29</v>
      </c>
      <c r="H137" s="209">
        <f>253786*0.286</f>
        <v>72582.795999999988</v>
      </c>
      <c r="I137" s="148" t="str">
        <f>VLOOKUP(G137,'Input keuzevariabelen'!$E$11:$I$80,3,FALSE)</f>
        <v>kWh</v>
      </c>
      <c r="J137" s="211">
        <f>SUMIFS('Input keuzevariabelen'!$H$11:$H$80,'Input keuzevariabelen'!$E$11:$E$80,Data!G137,'Input keuzevariabelen'!$J$11:$J$80,Data!D137)</f>
        <v>556</v>
      </c>
      <c r="K137" s="148" t="str">
        <f>VLOOKUP(G137,'Input keuzevariabelen'!$E$11:$I$80,5,FALSE)</f>
        <v>gram CO2/kWh</v>
      </c>
      <c r="L137" s="208">
        <f t="shared" si="30"/>
        <v>40356.034575999991</v>
      </c>
      <c r="M137" s="208">
        <f t="shared" si="31"/>
        <v>40.356034575999992</v>
      </c>
      <c r="N137" s="148" t="s">
        <v>168</v>
      </c>
      <c r="O137" s="156" t="s">
        <v>101</v>
      </c>
      <c r="P137" s="156" t="s">
        <v>169</v>
      </c>
    </row>
    <row r="138" spans="2:16" s="48" customFormat="1" ht="18" thickTop="1" thickBot="1" x14ac:dyDescent="0.25">
      <c r="B138" s="183"/>
      <c r="C138" s="183" t="s">
        <v>111</v>
      </c>
      <c r="D138" s="156">
        <v>2021</v>
      </c>
      <c r="E138" s="190" t="s">
        <v>16</v>
      </c>
      <c r="F138" s="225">
        <f>VLOOKUP(G138,'[2]Input keuzevariabelen'!$E$11:$I$79,2,FALSE)</f>
        <v>1</v>
      </c>
      <c r="G138" s="156" t="s">
        <v>5</v>
      </c>
      <c r="H138" s="209">
        <f>161170*0.111</f>
        <v>17889.87</v>
      </c>
      <c r="I138" s="226" t="str">
        <f>VLOOKUP(G138,'[2]Input keuzevariabelen'!$E$11:$I$79,3,FALSE)</f>
        <v>m3</v>
      </c>
      <c r="J138" s="211">
        <f>SUMIFS('Input keuzevariabelen'!$H$11:$H$80,'Input keuzevariabelen'!$E$11:$E$80,Data!G138,'Input keuzevariabelen'!$J$11:$J$80,Data!D138)</f>
        <v>1884</v>
      </c>
      <c r="K138" s="226" t="str">
        <f>VLOOKUP(G138,'[2]Input keuzevariabelen'!$E$11:$I$79,5,FALSE)</f>
        <v>gram CO2/m3</v>
      </c>
      <c r="L138" s="227">
        <f t="shared" si="30"/>
        <v>33704.515079999997</v>
      </c>
      <c r="M138" s="227">
        <f t="shared" si="31"/>
        <v>33.70451508</v>
      </c>
      <c r="N138" s="156" t="s">
        <v>172</v>
      </c>
      <c r="O138" s="156" t="s">
        <v>111</v>
      </c>
      <c r="P138" s="156" t="s">
        <v>170</v>
      </c>
    </row>
    <row r="139" spans="2:16" s="48" customFormat="1" ht="18" thickTop="1" thickBot="1" x14ac:dyDescent="0.25">
      <c r="B139" s="183"/>
      <c r="C139" s="183" t="s">
        <v>111</v>
      </c>
      <c r="D139" s="156">
        <v>2021</v>
      </c>
      <c r="E139" s="190" t="s">
        <v>16</v>
      </c>
      <c r="F139" s="225">
        <f>VLOOKUP(G139,'[2]Input keuzevariabelen'!$E$11:$I$79,2,FALSE)</f>
        <v>2</v>
      </c>
      <c r="G139" s="156" t="s">
        <v>28</v>
      </c>
      <c r="H139" s="209">
        <f>1289892*0.111</f>
        <v>143178.01199999999</v>
      </c>
      <c r="I139" s="226" t="str">
        <f>VLOOKUP(G139,'[2]Input keuzevariabelen'!$E$11:$I$79,3,FALSE)</f>
        <v>kWh</v>
      </c>
      <c r="J139" s="211">
        <f>SUMIFS('Input keuzevariabelen'!$H$11:$H$80,'Input keuzevariabelen'!$E$11:$E$80,Data!G139,'Input keuzevariabelen'!$J$11:$J$80,Data!D139)</f>
        <v>0</v>
      </c>
      <c r="K139" s="226" t="str">
        <f>VLOOKUP(G139,'[2]Input keuzevariabelen'!$E$11:$I$79,5,FALSE)</f>
        <v>gram CO2/kWh</v>
      </c>
      <c r="L139" s="227">
        <f t="shared" si="30"/>
        <v>0</v>
      </c>
      <c r="M139" s="227">
        <f t="shared" si="31"/>
        <v>0</v>
      </c>
      <c r="N139" s="156" t="s">
        <v>172</v>
      </c>
      <c r="O139" s="156" t="s">
        <v>111</v>
      </c>
      <c r="P139" s="156" t="s">
        <v>170</v>
      </c>
    </row>
    <row r="140" spans="2:16" s="48" customFormat="1" ht="18" thickTop="1" thickBot="1" x14ac:dyDescent="0.25">
      <c r="B140" s="183"/>
      <c r="C140" s="183" t="s">
        <v>111</v>
      </c>
      <c r="D140" s="156">
        <v>2021</v>
      </c>
      <c r="E140" s="190" t="s">
        <v>16</v>
      </c>
      <c r="F140" s="225">
        <f>VLOOKUP(G140,'[2]Input keuzevariabelen'!$E$11:$I$79,2,FALSE)</f>
        <v>2</v>
      </c>
      <c r="G140" s="156" t="s">
        <v>97</v>
      </c>
      <c r="H140" s="209">
        <f>7291*0.111</f>
        <v>809.30100000000004</v>
      </c>
      <c r="I140" s="226" t="str">
        <f>VLOOKUP(G140,'[2]Input keuzevariabelen'!$E$11:$I$79,3,FALSE)</f>
        <v>kWh</v>
      </c>
      <c r="J140" s="211">
        <f>SUMIFS('Input keuzevariabelen'!$H$11:$H$80,'Input keuzevariabelen'!$E$11:$E$80,Data!G140,'Input keuzevariabelen'!$J$11:$J$80,Data!D140)</f>
        <v>556</v>
      </c>
      <c r="K140" s="226" t="str">
        <f>VLOOKUP(G140,'[2]Input keuzevariabelen'!$E$11:$I$79,5,FALSE)</f>
        <v>gram CO2/kWh</v>
      </c>
      <c r="L140" s="227">
        <f t="shared" si="30"/>
        <v>449.97135600000001</v>
      </c>
      <c r="M140" s="227">
        <f t="shared" si="31"/>
        <v>0.44997135600000004</v>
      </c>
      <c r="N140" s="156" t="s">
        <v>172</v>
      </c>
      <c r="O140" s="156" t="s">
        <v>111</v>
      </c>
      <c r="P140" s="156" t="s">
        <v>170</v>
      </c>
    </row>
    <row r="141" spans="2:16" s="48" customFormat="1" ht="18" thickTop="1" thickBot="1" x14ac:dyDescent="0.25">
      <c r="B141" s="183"/>
      <c r="C141" s="183" t="s">
        <v>111</v>
      </c>
      <c r="D141" s="156">
        <v>2021</v>
      </c>
      <c r="E141" s="190" t="s">
        <v>16</v>
      </c>
      <c r="F141" s="225">
        <f>VLOOKUP(G141,'[2]Input keuzevariabelen'!$E$11:$I$79,2,FALSE)</f>
        <v>1</v>
      </c>
      <c r="G141" s="156" t="s">
        <v>81</v>
      </c>
      <c r="H141" s="209">
        <f>116124*0.111</f>
        <v>12889.764000000001</v>
      </c>
      <c r="I141" s="226" t="str">
        <f>VLOOKUP(G141,'[2]Input keuzevariabelen'!$E$11:$I$79,3,FALSE)</f>
        <v>liter</v>
      </c>
      <c r="J141" s="211">
        <f>SUMIFS('Input keuzevariabelen'!$H$11:$H$80,'Input keuzevariabelen'!$E$11:$E$80,Data!G141,'Input keuzevariabelen'!$J$11:$J$80,Data!D141)</f>
        <v>3262</v>
      </c>
      <c r="K141" s="226" t="str">
        <f>VLOOKUP(G141,'[2]Input keuzevariabelen'!$E$11:$I$79,5,FALSE)</f>
        <v>gram CO2/liter</v>
      </c>
      <c r="L141" s="227">
        <f t="shared" si="30"/>
        <v>42046.410168000002</v>
      </c>
      <c r="M141" s="227">
        <f t="shared" si="31"/>
        <v>42.046410168000008</v>
      </c>
      <c r="N141" s="156" t="s">
        <v>171</v>
      </c>
      <c r="O141" s="156" t="s">
        <v>111</v>
      </c>
      <c r="P141" s="156" t="s">
        <v>170</v>
      </c>
    </row>
    <row r="142" spans="2:16" s="48" customFormat="1" ht="18" thickTop="1" thickBot="1" x14ac:dyDescent="0.25">
      <c r="B142" s="183"/>
      <c r="C142" s="183" t="s">
        <v>111</v>
      </c>
      <c r="D142" s="156">
        <v>2021</v>
      </c>
      <c r="E142" s="190" t="s">
        <v>16</v>
      </c>
      <c r="F142" s="225">
        <f>VLOOKUP(G142,'[2]Input keuzevariabelen'!$E$11:$I$79,2,FALSE)</f>
        <v>1</v>
      </c>
      <c r="G142" s="156" t="s">
        <v>82</v>
      </c>
      <c r="H142" s="209">
        <f>2423*0.111</f>
        <v>268.95300000000003</v>
      </c>
      <c r="I142" s="226" t="str">
        <f>VLOOKUP(G142,'[2]Input keuzevariabelen'!$E$11:$I$79,3,FALSE)</f>
        <v>liter</v>
      </c>
      <c r="J142" s="211">
        <f>SUMIFS('Input keuzevariabelen'!$H$11:$H$80,'Input keuzevariabelen'!$E$11:$E$80,Data!G142,'Input keuzevariabelen'!$J$11:$J$80,Data!D142)</f>
        <v>2784</v>
      </c>
      <c r="K142" s="226" t="str">
        <f>VLOOKUP(G142,'[2]Input keuzevariabelen'!$E$11:$I$79,5,FALSE)</f>
        <v>gram CO2/liter</v>
      </c>
      <c r="L142" s="227">
        <f t="shared" si="30"/>
        <v>748.76515200000017</v>
      </c>
      <c r="M142" s="227">
        <f t="shared" si="31"/>
        <v>0.74876515200000016</v>
      </c>
      <c r="N142" s="156" t="s">
        <v>171</v>
      </c>
      <c r="O142" s="156" t="s">
        <v>111</v>
      </c>
      <c r="P142" s="156" t="s">
        <v>170</v>
      </c>
    </row>
    <row r="143" spans="2:16" s="48" customFormat="1" ht="18" thickTop="1" thickBot="1" x14ac:dyDescent="0.25">
      <c r="B143" s="183"/>
      <c r="C143" s="183" t="s">
        <v>111</v>
      </c>
      <c r="D143" s="156">
        <v>2021</v>
      </c>
      <c r="E143" s="190" t="s">
        <v>16</v>
      </c>
      <c r="F143" s="225" t="str">
        <f>VLOOKUP(G143,'[2]Input keuzevariabelen'!$E$11:$I$79,2,FALSE)</f>
        <v>bt</v>
      </c>
      <c r="G143" s="156" t="s">
        <v>12</v>
      </c>
      <c r="H143" s="209">
        <f>(31364/0.19)*0.111</f>
        <v>18323.178947368422</v>
      </c>
      <c r="I143" s="226" t="str">
        <f>VLOOKUP(G143,'[2]Input keuzevariabelen'!$E$11:$I$79,3,FALSE)</f>
        <v>km</v>
      </c>
      <c r="J143" s="211">
        <f>SUMIFS('Input keuzevariabelen'!$H$11:$H$80,'Input keuzevariabelen'!$E$11:$E$80,Data!G143,'Input keuzevariabelen'!$J$11:$J$80,Data!D143)</f>
        <v>195</v>
      </c>
      <c r="K143" s="226" t="str">
        <f>VLOOKUP(G143,'[2]Input keuzevariabelen'!$E$11:$I$79,5,FALSE)</f>
        <v>gram CO2/km</v>
      </c>
      <c r="L143" s="227">
        <f t="shared" si="30"/>
        <v>3573.0198947368422</v>
      </c>
      <c r="M143" s="227">
        <f t="shared" si="31"/>
        <v>3.5730198947368423</v>
      </c>
      <c r="N143" s="156" t="s">
        <v>172</v>
      </c>
      <c r="O143" s="156" t="s">
        <v>111</v>
      </c>
      <c r="P143" s="156" t="s">
        <v>170</v>
      </c>
    </row>
    <row r="144" spans="2:16" s="48" customFormat="1" ht="18" thickTop="1" thickBot="1" x14ac:dyDescent="0.25">
      <c r="B144" s="183"/>
      <c r="C144" s="183" t="s">
        <v>111</v>
      </c>
      <c r="D144" s="156">
        <v>2021</v>
      </c>
      <c r="E144" s="190" t="s">
        <v>16</v>
      </c>
      <c r="F144" s="225" t="str">
        <f>VLOOKUP(G144,'[2]Input keuzevariabelen'!$E$11:$I$79,2,FALSE)</f>
        <v>bt</v>
      </c>
      <c r="G144" s="156" t="s">
        <v>77</v>
      </c>
      <c r="H144" s="209">
        <f>(1759/0.15)*0.111</f>
        <v>1301.6600000000001</v>
      </c>
      <c r="I144" s="226" t="str">
        <f>VLOOKUP(G144,'[2]Input keuzevariabelen'!$E$11:$I$79,3,FALSE)</f>
        <v>km</v>
      </c>
      <c r="J144" s="211">
        <f>SUMIFS('Input keuzevariabelen'!$H$11:$H$80,'Input keuzevariabelen'!$E$11:$E$80,Data!G144,'Input keuzevariabelen'!$J$11:$J$80,Data!D144)</f>
        <v>15</v>
      </c>
      <c r="K144" s="226" t="str">
        <f>VLOOKUP(G144,'[2]Input keuzevariabelen'!$E$11:$I$79,5,FALSE)</f>
        <v>gram CO2/km</v>
      </c>
      <c r="L144" s="227">
        <f t="shared" si="30"/>
        <v>19.524900000000002</v>
      </c>
      <c r="M144" s="227">
        <f t="shared" si="31"/>
        <v>1.9524900000000001E-2</v>
      </c>
      <c r="N144" s="156" t="s">
        <v>172</v>
      </c>
      <c r="O144" s="156" t="s">
        <v>111</v>
      </c>
      <c r="P144" s="156" t="s">
        <v>170</v>
      </c>
    </row>
    <row r="145" spans="2:16" ht="18" thickTop="1" thickBot="1" x14ac:dyDescent="0.25">
      <c r="B145" s="183"/>
      <c r="C145" s="183"/>
      <c r="D145" s="156"/>
      <c r="E145" s="190"/>
      <c r="F145" s="147"/>
      <c r="G145" s="156"/>
      <c r="H145" s="209"/>
      <c r="I145" s="148"/>
      <c r="J145" s="211"/>
      <c r="K145" s="148"/>
      <c r="L145" s="208"/>
      <c r="M145" s="208"/>
      <c r="N145" s="148"/>
      <c r="O145" s="156"/>
      <c r="P145" s="157"/>
    </row>
    <row r="146" spans="2:16" ht="18" thickTop="1" thickBot="1" x14ac:dyDescent="0.25">
      <c r="B146" s="183"/>
      <c r="C146" s="183"/>
      <c r="D146" s="156"/>
      <c r="E146" s="190"/>
      <c r="F146" s="147" t="e">
        <f>VLOOKUP(G146,'Input keuzevariabelen'!$E$11:$I$80,2,FALSE)</f>
        <v>#N/A</v>
      </c>
      <c r="G146" s="156"/>
      <c r="H146" s="209"/>
      <c r="I146" s="148" t="e">
        <f>VLOOKUP(G146,'Input keuzevariabelen'!$E$11:$I$80,3,FALSE)</f>
        <v>#N/A</v>
      </c>
      <c r="J146" s="211">
        <f>SUMIFS('Input keuzevariabelen'!$H$11:$H$80,'Input keuzevariabelen'!$E$11:$E$80,Data!G146,'Input keuzevariabelen'!$J$11:$J$80,Data!D146)</f>
        <v>0</v>
      </c>
      <c r="K146" s="148" t="e">
        <f>VLOOKUP(G146,'Input keuzevariabelen'!$E$11:$I$80,5,FALSE)</f>
        <v>#N/A</v>
      </c>
      <c r="L146" s="208">
        <f t="shared" si="30"/>
        <v>0</v>
      </c>
      <c r="M146" s="208">
        <f t="shared" si="31"/>
        <v>0</v>
      </c>
      <c r="N146" s="148"/>
      <c r="O146" s="156"/>
      <c r="P146" s="157"/>
    </row>
    <row r="147" spans="2:16" ht="18" thickTop="1" thickBot="1" x14ac:dyDescent="0.25">
      <c r="B147" s="183"/>
      <c r="C147" s="188"/>
      <c r="D147" s="156"/>
      <c r="E147" s="190"/>
      <c r="F147" s="147" t="e">
        <f>VLOOKUP(G147,'Input keuzevariabelen'!$E$11:$I$80,2,FALSE)</f>
        <v>#N/A</v>
      </c>
      <c r="G147" s="156"/>
      <c r="H147" s="209"/>
      <c r="I147" s="148" t="e">
        <f>VLOOKUP(G147,'Input keuzevariabelen'!$E$11:$I$80,3,FALSE)</f>
        <v>#N/A</v>
      </c>
      <c r="J147" s="211">
        <f>SUMIFS('Input keuzevariabelen'!$H$11:$H$80,'Input keuzevariabelen'!$E$11:$E$80,Data!G147,'Input keuzevariabelen'!$J$11:$J$80,Data!D147)</f>
        <v>0</v>
      </c>
      <c r="K147" s="148" t="e">
        <f>VLOOKUP(G147,'Input keuzevariabelen'!$E$11:$I$80,5,FALSE)</f>
        <v>#N/A</v>
      </c>
      <c r="L147" s="208">
        <f t="shared" si="30"/>
        <v>0</v>
      </c>
      <c r="M147" s="208">
        <f t="shared" si="31"/>
        <v>0</v>
      </c>
      <c r="N147" s="148"/>
      <c r="O147" s="156"/>
      <c r="P147" s="157"/>
    </row>
    <row r="148" spans="2:16" ht="18" thickTop="1" thickBot="1" x14ac:dyDescent="0.25">
      <c r="B148" s="183"/>
      <c r="C148" s="188"/>
      <c r="D148" s="156"/>
      <c r="E148" s="190"/>
      <c r="F148" s="147" t="e">
        <f>VLOOKUP(G148,'Input keuzevariabelen'!$E$11:$I$80,2,FALSE)</f>
        <v>#N/A</v>
      </c>
      <c r="G148" s="156"/>
      <c r="H148" s="209"/>
      <c r="I148" s="148" t="e">
        <f>VLOOKUP(G148,'Input keuzevariabelen'!$E$11:$I$80,3,FALSE)</f>
        <v>#N/A</v>
      </c>
      <c r="J148" s="211">
        <f>SUMIFS('Input keuzevariabelen'!$H$11:$H$80,'Input keuzevariabelen'!$E$11:$E$80,Data!G148,'Input keuzevariabelen'!$J$11:$J$80,Data!D148)</f>
        <v>0</v>
      </c>
      <c r="K148" s="148" t="e">
        <f>VLOOKUP(G148,'Input keuzevariabelen'!$E$11:$I$80,5,FALSE)</f>
        <v>#N/A</v>
      </c>
      <c r="L148" s="208">
        <f t="shared" ref="L148" si="48">H148*J148/1000</f>
        <v>0</v>
      </c>
      <c r="M148" s="208">
        <f t="shared" ref="M148" si="49">H148*J148/1000000</f>
        <v>0</v>
      </c>
      <c r="N148" s="148"/>
      <c r="O148" s="156"/>
      <c r="P148" s="157"/>
    </row>
    <row r="149" spans="2:16" ht="18" thickTop="1" thickBot="1" x14ac:dyDescent="0.25">
      <c r="B149" s="183"/>
      <c r="C149" s="188"/>
      <c r="D149" s="156"/>
      <c r="E149" s="190"/>
      <c r="F149" s="147" t="e">
        <f>VLOOKUP(G149,'Input keuzevariabelen'!$E$11:$I$80,2,FALSE)</f>
        <v>#N/A</v>
      </c>
      <c r="G149" s="156"/>
      <c r="H149" s="209"/>
      <c r="I149" s="148" t="e">
        <f>VLOOKUP(G149,'Input keuzevariabelen'!$E$11:$I$80,3,FALSE)</f>
        <v>#N/A</v>
      </c>
      <c r="J149" s="211">
        <f>SUMIFS('Input keuzevariabelen'!$H$11:$H$80,'Input keuzevariabelen'!$E$11:$E$80,Data!G149,'Input keuzevariabelen'!$J$11:$J$80,Data!D149)</f>
        <v>0</v>
      </c>
      <c r="K149" s="148" t="e">
        <f>VLOOKUP(G149,'Input keuzevariabelen'!$E$11:$I$80,5,FALSE)</f>
        <v>#N/A</v>
      </c>
      <c r="L149" s="208">
        <f t="shared" si="30"/>
        <v>0</v>
      </c>
      <c r="M149" s="208">
        <f t="shared" si="31"/>
        <v>0</v>
      </c>
      <c r="N149" s="148"/>
      <c r="O149" s="156"/>
      <c r="P149" s="157"/>
    </row>
    <row r="150" spans="2:16" ht="18" thickTop="1" thickBot="1" x14ac:dyDescent="0.25">
      <c r="B150" s="183"/>
      <c r="C150" s="188"/>
      <c r="D150" s="156"/>
      <c r="E150" s="190"/>
      <c r="F150" s="147" t="e">
        <f>VLOOKUP(G150,'Input keuzevariabelen'!$E$11:$I$80,2,FALSE)</f>
        <v>#N/A</v>
      </c>
      <c r="G150" s="156"/>
      <c r="H150" s="209"/>
      <c r="I150" s="148" t="e">
        <f>VLOOKUP(G150,'Input keuzevariabelen'!$E$11:$I$80,3,FALSE)</f>
        <v>#N/A</v>
      </c>
      <c r="J150" s="211">
        <f>SUMIFS('Input keuzevariabelen'!$H$11:$H$80,'Input keuzevariabelen'!$E$11:$E$80,Data!G150,'Input keuzevariabelen'!$J$11:$J$80,Data!D150)</f>
        <v>0</v>
      </c>
      <c r="K150" s="148" t="e">
        <f>VLOOKUP(G150,'Input keuzevariabelen'!$E$11:$I$80,5,FALSE)</f>
        <v>#N/A</v>
      </c>
      <c r="L150" s="208">
        <f t="shared" si="30"/>
        <v>0</v>
      </c>
      <c r="M150" s="208">
        <f t="shared" si="31"/>
        <v>0</v>
      </c>
      <c r="N150" s="148"/>
      <c r="O150" s="156"/>
      <c r="P150" s="157"/>
    </row>
    <row r="151" spans="2:16" ht="18" thickTop="1" thickBot="1" x14ac:dyDescent="0.25">
      <c r="B151" s="183"/>
      <c r="C151" s="188"/>
      <c r="D151" s="156"/>
      <c r="E151" s="190"/>
      <c r="F151" s="147" t="e">
        <f>VLOOKUP(G151,'Input keuzevariabelen'!$E$11:$I$80,2,FALSE)</f>
        <v>#N/A</v>
      </c>
      <c r="G151" s="156"/>
      <c r="H151" s="209"/>
      <c r="I151" s="148" t="e">
        <f>VLOOKUP(G151,'Input keuzevariabelen'!$E$11:$I$80,3,FALSE)</f>
        <v>#N/A</v>
      </c>
      <c r="J151" s="211">
        <f>SUMIFS('Input keuzevariabelen'!$H$11:$H$80,'Input keuzevariabelen'!$E$11:$E$80,Data!G151,'Input keuzevariabelen'!$J$11:$J$80,Data!D151)</f>
        <v>0</v>
      </c>
      <c r="K151" s="148" t="e">
        <f>VLOOKUP(G151,'Input keuzevariabelen'!$E$11:$I$80,5,FALSE)</f>
        <v>#N/A</v>
      </c>
      <c r="L151" s="208">
        <f t="shared" si="30"/>
        <v>0</v>
      </c>
      <c r="M151" s="208">
        <f t="shared" si="31"/>
        <v>0</v>
      </c>
      <c r="N151" s="148"/>
      <c r="O151" s="156"/>
      <c r="P151" s="157"/>
    </row>
    <row r="152" spans="2:16" ht="18" thickTop="1" thickBot="1" x14ac:dyDescent="0.25">
      <c r="B152" s="183"/>
      <c r="C152" s="188"/>
      <c r="D152" s="156"/>
      <c r="E152" s="190"/>
      <c r="F152" s="147" t="e">
        <f>VLOOKUP(G152,'Input keuzevariabelen'!$E$11:$I$80,2,FALSE)</f>
        <v>#N/A</v>
      </c>
      <c r="G152" s="156"/>
      <c r="H152" s="209"/>
      <c r="I152" s="148" t="e">
        <f>VLOOKUP(G152,'Input keuzevariabelen'!$E$11:$I$80,3,FALSE)</f>
        <v>#N/A</v>
      </c>
      <c r="J152" s="211">
        <f>SUMIFS('Input keuzevariabelen'!$H$11:$H$80,'Input keuzevariabelen'!$E$11:$E$80,Data!G152,'Input keuzevariabelen'!$J$11:$J$80,Data!D152)</f>
        <v>0</v>
      </c>
      <c r="K152" s="148" t="e">
        <f>VLOOKUP(G152,'Input keuzevariabelen'!$E$11:$I$80,5,FALSE)</f>
        <v>#N/A</v>
      </c>
      <c r="L152" s="208">
        <f t="shared" si="30"/>
        <v>0</v>
      </c>
      <c r="M152" s="208">
        <f t="shared" si="31"/>
        <v>0</v>
      </c>
      <c r="N152" s="148"/>
      <c r="O152" s="156"/>
      <c r="P152" s="157"/>
    </row>
    <row r="153" spans="2:16" ht="18" thickTop="1" thickBot="1" x14ac:dyDescent="0.25">
      <c r="B153" s="183"/>
      <c r="C153" s="188"/>
      <c r="D153" s="156"/>
      <c r="E153" s="190"/>
      <c r="F153" s="147" t="e">
        <f>VLOOKUP(G153,'Input keuzevariabelen'!$E$11:$I$80,2,FALSE)</f>
        <v>#N/A</v>
      </c>
      <c r="G153" s="156"/>
      <c r="H153" s="209"/>
      <c r="I153" s="148" t="e">
        <f>VLOOKUP(G153,'Input keuzevariabelen'!$E$11:$I$80,3,FALSE)</f>
        <v>#N/A</v>
      </c>
      <c r="J153" s="211">
        <f>SUMIFS('Input keuzevariabelen'!$H$11:$H$80,'Input keuzevariabelen'!$E$11:$E$80,Data!G153,'Input keuzevariabelen'!$J$11:$J$80,Data!D153)</f>
        <v>0</v>
      </c>
      <c r="K153" s="148" t="e">
        <f>VLOOKUP(G153,'Input keuzevariabelen'!$E$11:$I$80,5,FALSE)</f>
        <v>#N/A</v>
      </c>
      <c r="L153" s="208">
        <f t="shared" si="30"/>
        <v>0</v>
      </c>
      <c r="M153" s="208">
        <f t="shared" si="31"/>
        <v>0</v>
      </c>
      <c r="N153" s="148"/>
      <c r="O153" s="156"/>
      <c r="P153" s="157"/>
    </row>
    <row r="154" spans="2:16" ht="18" thickTop="1" thickBot="1" x14ac:dyDescent="0.25">
      <c r="B154" s="183"/>
      <c r="C154" s="183"/>
      <c r="D154" s="156"/>
      <c r="E154" s="190"/>
      <c r="F154" s="147" t="e">
        <f>VLOOKUP(G154,'Input keuzevariabelen'!$E$11:$I$80,2,FALSE)</f>
        <v>#N/A</v>
      </c>
      <c r="G154" s="156"/>
      <c r="H154" s="209"/>
      <c r="I154" s="148" t="e">
        <f>VLOOKUP(G154,'Input keuzevariabelen'!$E$11:$I$80,3,FALSE)</f>
        <v>#N/A</v>
      </c>
      <c r="J154" s="211">
        <f>SUMIFS('Input keuzevariabelen'!$H$11:$H$80,'Input keuzevariabelen'!$E$11:$E$80,Data!G154,'Input keuzevariabelen'!$J$11:$J$80,Data!D154)</f>
        <v>0</v>
      </c>
      <c r="K154" s="148" t="e">
        <f>VLOOKUP(G154,'Input keuzevariabelen'!$E$11:$I$80,5,FALSE)</f>
        <v>#N/A</v>
      </c>
      <c r="L154" s="208">
        <f t="shared" si="30"/>
        <v>0</v>
      </c>
      <c r="M154" s="208">
        <f t="shared" si="31"/>
        <v>0</v>
      </c>
      <c r="N154" s="148"/>
      <c r="O154" s="156"/>
      <c r="P154" s="157"/>
    </row>
    <row r="155" spans="2:16" ht="18" thickTop="1" thickBot="1" x14ac:dyDescent="0.25">
      <c r="B155" s="183"/>
      <c r="C155" s="183"/>
      <c r="D155" s="156"/>
      <c r="E155" s="190"/>
      <c r="F155" s="147" t="e">
        <f>VLOOKUP(G155,'Input keuzevariabelen'!$E$11:$I$80,2,FALSE)</f>
        <v>#N/A</v>
      </c>
      <c r="G155" s="156"/>
      <c r="H155" s="209"/>
      <c r="I155" s="148" t="e">
        <f>VLOOKUP(G155,'Input keuzevariabelen'!$E$11:$I$80,3,FALSE)</f>
        <v>#N/A</v>
      </c>
      <c r="J155" s="211">
        <f>SUMIFS('Input keuzevariabelen'!$H$11:$H$80,'Input keuzevariabelen'!$E$11:$E$80,Data!G155,'Input keuzevariabelen'!$J$11:$J$80,Data!D155)</f>
        <v>0</v>
      </c>
      <c r="K155" s="148" t="e">
        <f>VLOOKUP(G155,'Input keuzevariabelen'!$E$11:$I$80,5,FALSE)</f>
        <v>#N/A</v>
      </c>
      <c r="L155" s="208">
        <f t="shared" si="30"/>
        <v>0</v>
      </c>
      <c r="M155" s="208">
        <f t="shared" si="31"/>
        <v>0</v>
      </c>
      <c r="N155" s="156"/>
      <c r="O155" s="157"/>
      <c r="P155" s="157"/>
    </row>
    <row r="156" spans="2:16" ht="18" thickTop="1" thickBot="1" x14ac:dyDescent="0.25">
      <c r="B156" s="183"/>
      <c r="C156" s="183"/>
      <c r="D156" s="156"/>
      <c r="E156" s="190"/>
      <c r="F156" s="147" t="e">
        <f>VLOOKUP(G156,'Input keuzevariabelen'!$E$11:$I$80,2,FALSE)</f>
        <v>#N/A</v>
      </c>
      <c r="G156" s="156"/>
      <c r="H156" s="209"/>
      <c r="I156" s="148" t="e">
        <f>VLOOKUP(G156,'Input keuzevariabelen'!$E$11:$I$80,3,FALSE)</f>
        <v>#N/A</v>
      </c>
      <c r="J156" s="211">
        <f>SUMIFS('Input keuzevariabelen'!$H$11:$H$80,'Input keuzevariabelen'!$E$11:$E$80,Data!G156,'Input keuzevariabelen'!$J$11:$J$80,Data!D156)</f>
        <v>0</v>
      </c>
      <c r="K156" s="148" t="e">
        <f>VLOOKUP(G156,'Input keuzevariabelen'!$E$11:$I$80,5,FALSE)</f>
        <v>#N/A</v>
      </c>
      <c r="L156" s="208">
        <f t="shared" si="30"/>
        <v>0</v>
      </c>
      <c r="M156" s="208">
        <f t="shared" si="31"/>
        <v>0</v>
      </c>
      <c r="N156" s="156"/>
      <c r="O156" s="157"/>
      <c r="P156" s="157"/>
    </row>
    <row r="157" spans="2:16" ht="18" thickTop="1" thickBot="1" x14ac:dyDescent="0.25">
      <c r="B157" s="183"/>
      <c r="C157" s="183"/>
      <c r="D157" s="156"/>
      <c r="E157" s="190"/>
      <c r="F157" s="147" t="e">
        <f>VLOOKUP(G157,'Input keuzevariabelen'!$E$11:$I$80,2,FALSE)</f>
        <v>#N/A</v>
      </c>
      <c r="G157" s="156"/>
      <c r="H157" s="209"/>
      <c r="I157" s="148" t="e">
        <f>VLOOKUP(G157,'Input keuzevariabelen'!$E$11:$I$80,3,FALSE)</f>
        <v>#N/A</v>
      </c>
      <c r="J157" s="211">
        <f>SUMIFS('Input keuzevariabelen'!$H$11:$H$80,'Input keuzevariabelen'!$E$11:$E$80,Data!G157,'Input keuzevariabelen'!$J$11:$J$80,Data!D157)</f>
        <v>0</v>
      </c>
      <c r="K157" s="148" t="e">
        <f>VLOOKUP(G157,'Input keuzevariabelen'!$E$11:$I$80,5,FALSE)</f>
        <v>#N/A</v>
      </c>
      <c r="L157" s="208">
        <f t="shared" si="30"/>
        <v>0</v>
      </c>
      <c r="M157" s="208">
        <f t="shared" si="31"/>
        <v>0</v>
      </c>
      <c r="N157" s="156"/>
      <c r="O157" s="156"/>
      <c r="P157" s="157"/>
    </row>
    <row r="158" spans="2:16" ht="18" thickTop="1" thickBot="1" x14ac:dyDescent="0.25">
      <c r="B158" s="183"/>
      <c r="C158" s="183"/>
      <c r="D158" s="156"/>
      <c r="E158" s="190"/>
      <c r="F158" s="147" t="e">
        <f>VLOOKUP(G158,'Input keuzevariabelen'!$E$11:$I$80,2,FALSE)</f>
        <v>#N/A</v>
      </c>
      <c r="G158" s="156"/>
      <c r="H158" s="209"/>
      <c r="I158" s="148" t="e">
        <f>VLOOKUP(G158,'Input keuzevariabelen'!$E$11:$I$80,3,FALSE)</f>
        <v>#N/A</v>
      </c>
      <c r="J158" s="211">
        <f>SUMIFS('Input keuzevariabelen'!$H$11:$H$80,'Input keuzevariabelen'!$E$11:$E$80,Data!G158,'Input keuzevariabelen'!$J$11:$J$80,Data!D158)</f>
        <v>0</v>
      </c>
      <c r="K158" s="148" t="e">
        <f>VLOOKUP(G158,'Input keuzevariabelen'!$E$11:$I$80,5,FALSE)</f>
        <v>#N/A</v>
      </c>
      <c r="L158" s="208">
        <f t="shared" si="30"/>
        <v>0</v>
      </c>
      <c r="M158" s="208">
        <f t="shared" si="31"/>
        <v>0</v>
      </c>
      <c r="N158" s="156"/>
      <c r="O158" s="156"/>
      <c r="P158" s="157"/>
    </row>
    <row r="159" spans="2:16" ht="18" thickTop="1" thickBot="1" x14ac:dyDescent="0.25">
      <c r="B159" s="183"/>
      <c r="C159" s="183"/>
      <c r="D159" s="156"/>
      <c r="E159" s="190"/>
      <c r="F159" s="147" t="e">
        <f>VLOOKUP(G159,'Input keuzevariabelen'!$E$11:$I$80,2,FALSE)</f>
        <v>#N/A</v>
      </c>
      <c r="G159" s="156"/>
      <c r="H159" s="209"/>
      <c r="I159" s="148" t="e">
        <f>VLOOKUP(G159,'Input keuzevariabelen'!$E$11:$I$80,3,FALSE)</f>
        <v>#N/A</v>
      </c>
      <c r="J159" s="211">
        <f>SUMIFS('Input keuzevariabelen'!$H$11:$H$80,'Input keuzevariabelen'!$E$11:$E$80,Data!G159,'Input keuzevariabelen'!$J$11:$J$80,Data!D159)</f>
        <v>0</v>
      </c>
      <c r="K159" s="148" t="e">
        <f>VLOOKUP(G159,'Input keuzevariabelen'!$E$11:$I$80,5,FALSE)</f>
        <v>#N/A</v>
      </c>
      <c r="L159" s="208">
        <f t="shared" si="30"/>
        <v>0</v>
      </c>
      <c r="M159" s="208">
        <f t="shared" si="31"/>
        <v>0</v>
      </c>
      <c r="N159" s="156"/>
      <c r="O159" s="156"/>
      <c r="P159" s="157"/>
    </row>
    <row r="160" spans="2:16" ht="18" thickTop="1" thickBot="1" x14ac:dyDescent="0.25">
      <c r="B160" s="183"/>
      <c r="C160" s="183"/>
      <c r="D160" s="156"/>
      <c r="E160" s="190"/>
      <c r="F160" s="147" t="e">
        <f>VLOOKUP(G160,'Input keuzevariabelen'!$E$11:$I$80,2,FALSE)</f>
        <v>#N/A</v>
      </c>
      <c r="G160" s="156"/>
      <c r="H160" s="209"/>
      <c r="I160" s="148" t="e">
        <f>VLOOKUP(G160,'Input keuzevariabelen'!$E$11:$I$80,3,FALSE)</f>
        <v>#N/A</v>
      </c>
      <c r="J160" s="211">
        <f>SUMIFS('Input keuzevariabelen'!$H$11:$H$80,'Input keuzevariabelen'!$E$11:$E$80,Data!G160,'Input keuzevariabelen'!$J$11:$J$80,Data!D160)</f>
        <v>0</v>
      </c>
      <c r="K160" s="148" t="e">
        <f>VLOOKUP(G160,'Input keuzevariabelen'!$E$11:$I$80,5,FALSE)</f>
        <v>#N/A</v>
      </c>
      <c r="L160" s="208">
        <f t="shared" si="30"/>
        <v>0</v>
      </c>
      <c r="M160" s="208">
        <f t="shared" si="31"/>
        <v>0</v>
      </c>
      <c r="N160" s="156"/>
      <c r="O160" s="156"/>
      <c r="P160" s="157"/>
    </row>
    <row r="161" spans="2:17" ht="18" thickTop="1" thickBot="1" x14ac:dyDescent="0.25">
      <c r="B161" s="183"/>
      <c r="C161" s="183"/>
      <c r="D161" s="156"/>
      <c r="E161" s="190"/>
      <c r="F161" s="147" t="e">
        <f>VLOOKUP(G161,'Input keuzevariabelen'!$E$11:$I$80,2,FALSE)</f>
        <v>#N/A</v>
      </c>
      <c r="G161" s="156"/>
      <c r="H161" s="209"/>
      <c r="I161" s="148" t="e">
        <f>VLOOKUP(G161,'Input keuzevariabelen'!$E$11:$I$80,3,FALSE)</f>
        <v>#N/A</v>
      </c>
      <c r="J161" s="211">
        <f>SUMIFS('Input keuzevariabelen'!$H$11:$H$80,'Input keuzevariabelen'!$E$11:$E$80,Data!G161,'Input keuzevariabelen'!$J$11:$J$80,Data!D161)</f>
        <v>0</v>
      </c>
      <c r="K161" s="148" t="e">
        <f>VLOOKUP(G161,'Input keuzevariabelen'!$E$11:$I$80,5,FALSE)</f>
        <v>#N/A</v>
      </c>
      <c r="L161" s="208">
        <f t="shared" si="30"/>
        <v>0</v>
      </c>
      <c r="M161" s="208">
        <f t="shared" si="31"/>
        <v>0</v>
      </c>
      <c r="N161" s="156"/>
      <c r="O161" s="156"/>
      <c r="P161" s="157"/>
    </row>
    <row r="162" spans="2:17" ht="18" thickTop="1" thickBot="1" x14ac:dyDescent="0.25">
      <c r="B162" s="183"/>
      <c r="C162" s="183"/>
      <c r="D162" s="156"/>
      <c r="E162" s="190"/>
      <c r="F162" s="147" t="e">
        <f>VLOOKUP(G162,'Input keuzevariabelen'!$E$11:$I$80,2,FALSE)</f>
        <v>#N/A</v>
      </c>
      <c r="G162" s="156"/>
      <c r="H162" s="209"/>
      <c r="I162" s="148" t="e">
        <f>VLOOKUP(G162,'Input keuzevariabelen'!$E$11:$I$80,3,FALSE)</f>
        <v>#N/A</v>
      </c>
      <c r="J162" s="211">
        <f>SUMIFS('Input keuzevariabelen'!$H$11:$H$80,'Input keuzevariabelen'!$E$11:$E$80,Data!G162,'Input keuzevariabelen'!$J$11:$J$80,Data!D162)</f>
        <v>0</v>
      </c>
      <c r="K162" s="148" t="e">
        <f>VLOOKUP(G162,'Input keuzevariabelen'!$E$11:$I$80,5,FALSE)</f>
        <v>#N/A</v>
      </c>
      <c r="L162" s="208">
        <f t="shared" si="30"/>
        <v>0</v>
      </c>
      <c r="M162" s="208">
        <f t="shared" si="31"/>
        <v>0</v>
      </c>
      <c r="N162" s="156"/>
      <c r="O162" s="156"/>
      <c r="P162" s="157"/>
    </row>
    <row r="163" spans="2:17" ht="18" thickTop="1" thickBot="1" x14ac:dyDescent="0.25">
      <c r="B163" s="183"/>
      <c r="C163" s="183"/>
      <c r="D163" s="156"/>
      <c r="E163" s="190"/>
      <c r="F163" s="147" t="e">
        <f>VLOOKUP(G163,'Input keuzevariabelen'!$E$11:$I$80,2,FALSE)</f>
        <v>#N/A</v>
      </c>
      <c r="G163" s="156"/>
      <c r="H163" s="209"/>
      <c r="I163" s="148" t="e">
        <f>VLOOKUP(G163,'Input keuzevariabelen'!$E$11:$I$80,3,FALSE)</f>
        <v>#N/A</v>
      </c>
      <c r="J163" s="211">
        <f>SUMIFS('Input keuzevariabelen'!$H$11:$H$80,'Input keuzevariabelen'!$E$11:$E$80,Data!G163,'Input keuzevariabelen'!$J$11:$J$80,Data!D163)</f>
        <v>0</v>
      </c>
      <c r="K163" s="148" t="e">
        <f>VLOOKUP(G163,'Input keuzevariabelen'!$E$11:$I$80,5,FALSE)</f>
        <v>#N/A</v>
      </c>
      <c r="L163" s="208">
        <f t="shared" si="30"/>
        <v>0</v>
      </c>
      <c r="M163" s="208">
        <f t="shared" si="31"/>
        <v>0</v>
      </c>
      <c r="N163" s="156"/>
      <c r="O163" s="156"/>
      <c r="P163" s="157"/>
    </row>
    <row r="164" spans="2:17" ht="18" thickTop="1" thickBot="1" x14ac:dyDescent="0.25">
      <c r="B164" s="183"/>
      <c r="C164" s="183"/>
      <c r="D164" s="156"/>
      <c r="E164" s="190"/>
      <c r="F164" s="147" t="e">
        <f>VLOOKUP(G164,'Input keuzevariabelen'!$E$11:$I$80,2,FALSE)</f>
        <v>#N/A</v>
      </c>
      <c r="G164" s="156"/>
      <c r="H164" s="209"/>
      <c r="I164" s="148" t="e">
        <f>VLOOKUP(G164,'Input keuzevariabelen'!$E$11:$I$80,3,FALSE)</f>
        <v>#N/A</v>
      </c>
      <c r="J164" s="211">
        <f>SUMIFS('Input keuzevariabelen'!$H$11:$H$80,'Input keuzevariabelen'!$E$11:$E$80,Data!G164,'Input keuzevariabelen'!$J$11:$J$80,Data!D164)</f>
        <v>0</v>
      </c>
      <c r="K164" s="148" t="e">
        <f>VLOOKUP(G164,'Input keuzevariabelen'!$E$11:$I$80,5,FALSE)</f>
        <v>#N/A</v>
      </c>
      <c r="L164" s="208">
        <f t="shared" si="30"/>
        <v>0</v>
      </c>
      <c r="M164" s="208">
        <f t="shared" si="31"/>
        <v>0</v>
      </c>
      <c r="N164" s="156"/>
      <c r="O164" s="156"/>
      <c r="P164" s="156"/>
      <c r="Q164" s="157"/>
    </row>
    <row r="165" spans="2:17" ht="18" thickTop="1" thickBot="1" x14ac:dyDescent="0.25">
      <c r="B165" s="183"/>
      <c r="C165" s="183"/>
      <c r="D165" s="156"/>
      <c r="E165" s="190"/>
      <c r="F165" s="147" t="e">
        <f>VLOOKUP(G165,'Input keuzevariabelen'!$E$11:$I$80,2,FALSE)</f>
        <v>#N/A</v>
      </c>
      <c r="G165" s="156"/>
      <c r="H165" s="209"/>
      <c r="I165" s="148" t="e">
        <f>VLOOKUP(G165,'Input keuzevariabelen'!$E$11:$I$80,3,FALSE)</f>
        <v>#N/A</v>
      </c>
      <c r="J165" s="211">
        <f>SUMIFS('Input keuzevariabelen'!$H$11:$H$80,'Input keuzevariabelen'!$E$11:$E$80,Data!G165,'Input keuzevariabelen'!$J$11:$J$80,Data!D165)</f>
        <v>0</v>
      </c>
      <c r="K165" s="148" t="e">
        <f>VLOOKUP(G165,'Input keuzevariabelen'!$E$11:$I$80,5,FALSE)</f>
        <v>#N/A</v>
      </c>
      <c r="L165" s="208">
        <f t="shared" si="30"/>
        <v>0</v>
      </c>
      <c r="M165" s="208">
        <f t="shared" si="31"/>
        <v>0</v>
      </c>
      <c r="N165" s="156"/>
      <c r="O165" s="156"/>
      <c r="P165" s="156"/>
      <c r="Q165" s="157"/>
    </row>
    <row r="166" spans="2:17" ht="18" thickTop="1" thickBot="1" x14ac:dyDescent="0.25">
      <c r="C166" s="189"/>
      <c r="D166" s="156"/>
      <c r="E166" s="190"/>
      <c r="F166" s="147" t="e">
        <f>VLOOKUP(G166,'Input keuzevariabelen'!$E$11:$I$80,2,FALSE)</f>
        <v>#N/A</v>
      </c>
      <c r="G166" s="156"/>
      <c r="H166" s="209"/>
      <c r="I166" s="148" t="e">
        <f>VLOOKUP(G166,'Input keuzevariabelen'!$E$11:$I$80,3,FALSE)</f>
        <v>#N/A</v>
      </c>
      <c r="J166" s="211">
        <f>SUMIFS('Input keuzevariabelen'!$H$11:$H$80,'Input keuzevariabelen'!$E$11:$E$80,Data!G166,'Input keuzevariabelen'!$J$11:$J$80,Data!D166)</f>
        <v>0</v>
      </c>
      <c r="K166" s="148" t="e">
        <f>VLOOKUP(G166,'Input keuzevariabelen'!$E$11:$I$80,5,FALSE)</f>
        <v>#N/A</v>
      </c>
      <c r="L166" s="208">
        <f t="shared" si="30"/>
        <v>0</v>
      </c>
      <c r="M166" s="208">
        <f t="shared" si="31"/>
        <v>0</v>
      </c>
      <c r="N166" s="156"/>
      <c r="O166" s="156"/>
      <c r="P166" s="157"/>
    </row>
    <row r="167" spans="2:17" ht="18" thickTop="1" thickBot="1" x14ac:dyDescent="0.25">
      <c r="C167" s="189"/>
      <c r="D167" s="156"/>
      <c r="E167" s="190"/>
      <c r="F167" s="147" t="e">
        <f>VLOOKUP(G167,'Input keuzevariabelen'!$E$11:$I$80,2,FALSE)</f>
        <v>#N/A</v>
      </c>
      <c r="G167" s="156"/>
      <c r="H167" s="209"/>
      <c r="I167" s="148" t="e">
        <f>VLOOKUP(G167,'Input keuzevariabelen'!$E$11:$I$80,3,FALSE)</f>
        <v>#N/A</v>
      </c>
      <c r="J167" s="211">
        <f>SUMIFS('Input keuzevariabelen'!$H$11:$H$80,'Input keuzevariabelen'!$E$11:$E$80,Data!G167,'Input keuzevariabelen'!$J$11:$J$80,Data!D167)</f>
        <v>0</v>
      </c>
      <c r="K167" s="148" t="e">
        <f>VLOOKUP(G167,'Input keuzevariabelen'!$E$11:$I$80,5,FALSE)</f>
        <v>#N/A</v>
      </c>
      <c r="L167" s="208">
        <f t="shared" si="30"/>
        <v>0</v>
      </c>
      <c r="M167" s="208">
        <f t="shared" si="31"/>
        <v>0</v>
      </c>
      <c r="N167" s="156"/>
      <c r="O167" s="156"/>
      <c r="P167" s="157"/>
    </row>
    <row r="168" spans="2:17" ht="18" thickTop="1" thickBot="1" x14ac:dyDescent="0.25">
      <c r="C168" s="189"/>
      <c r="D168" s="156"/>
      <c r="E168" s="190"/>
      <c r="F168" s="147" t="e">
        <f>VLOOKUP(G168,'Input keuzevariabelen'!$E$11:$I$80,2,FALSE)</f>
        <v>#N/A</v>
      </c>
      <c r="G168" s="156"/>
      <c r="H168" s="209"/>
      <c r="I168" s="148" t="e">
        <f>VLOOKUP(G168,'Input keuzevariabelen'!$E$11:$I$80,3,FALSE)</f>
        <v>#N/A</v>
      </c>
      <c r="J168" s="211">
        <f>SUMIFS('Input keuzevariabelen'!$H$11:$H$80,'Input keuzevariabelen'!$E$11:$E$80,Data!G168,'Input keuzevariabelen'!$J$11:$J$80,Data!D168)</f>
        <v>0</v>
      </c>
      <c r="K168" s="148" t="e">
        <f>VLOOKUP(G168,'Input keuzevariabelen'!$E$11:$I$80,5,FALSE)</f>
        <v>#N/A</v>
      </c>
      <c r="L168" s="208">
        <f t="shared" si="30"/>
        <v>0</v>
      </c>
      <c r="M168" s="208">
        <f t="shared" si="31"/>
        <v>0</v>
      </c>
      <c r="N168" s="156"/>
      <c r="O168" s="156"/>
      <c r="P168" s="157"/>
    </row>
    <row r="169" spans="2:17" ht="18" thickTop="1" thickBot="1" x14ac:dyDescent="0.25">
      <c r="C169" s="189"/>
      <c r="D169" s="156"/>
      <c r="E169" s="190"/>
      <c r="F169" s="147" t="e">
        <f>VLOOKUP(G169,'Input keuzevariabelen'!$E$11:$I$80,2,FALSE)</f>
        <v>#N/A</v>
      </c>
      <c r="G169" s="156"/>
      <c r="H169" s="209"/>
      <c r="I169" s="148" t="e">
        <f>VLOOKUP(G169,'Input keuzevariabelen'!$E$11:$I$80,3,FALSE)</f>
        <v>#N/A</v>
      </c>
      <c r="J169" s="211">
        <f>SUMIFS('Input keuzevariabelen'!$H$11:$H$80,'Input keuzevariabelen'!$E$11:$E$80,Data!G169,'Input keuzevariabelen'!$J$11:$J$80,Data!D169)</f>
        <v>0</v>
      </c>
      <c r="K169" s="148" t="e">
        <f>VLOOKUP(G169,'Input keuzevariabelen'!$E$11:$I$80,5,FALSE)</f>
        <v>#N/A</v>
      </c>
      <c r="L169" s="208">
        <f t="shared" ref="L169:L202" si="50">H169*J169/1000</f>
        <v>0</v>
      </c>
      <c r="M169" s="208">
        <f t="shared" ref="M169:M202" si="51">H169*J169/1000000</f>
        <v>0</v>
      </c>
      <c r="N169" s="156"/>
      <c r="O169" s="156"/>
      <c r="P169" s="157"/>
    </row>
    <row r="170" spans="2:17" ht="18" thickTop="1" thickBot="1" x14ac:dyDescent="0.25">
      <c r="C170" s="189"/>
      <c r="D170" s="156"/>
      <c r="E170" s="190"/>
      <c r="F170" s="147" t="e">
        <f>VLOOKUP(G170,'Input keuzevariabelen'!$E$11:$I$80,2,FALSE)</f>
        <v>#N/A</v>
      </c>
      <c r="G170" s="156"/>
      <c r="H170" s="209"/>
      <c r="I170" s="148" t="e">
        <f>VLOOKUP(G170,'Input keuzevariabelen'!$E$11:$I$80,3,FALSE)</f>
        <v>#N/A</v>
      </c>
      <c r="J170" s="211">
        <f>SUMIFS('Input keuzevariabelen'!$H$11:$H$80,'Input keuzevariabelen'!$E$11:$E$80,Data!G170,'Input keuzevariabelen'!$J$11:$J$80,Data!D170)</f>
        <v>0</v>
      </c>
      <c r="K170" s="148" t="e">
        <f>VLOOKUP(G170,'Input keuzevariabelen'!$E$11:$I$80,5,FALSE)</f>
        <v>#N/A</v>
      </c>
      <c r="L170" s="208">
        <f t="shared" si="50"/>
        <v>0</v>
      </c>
      <c r="M170" s="208">
        <f t="shared" si="51"/>
        <v>0</v>
      </c>
      <c r="N170" s="156"/>
      <c r="O170" s="156"/>
      <c r="P170" s="157"/>
    </row>
    <row r="171" spans="2:17" ht="18" thickTop="1" thickBot="1" x14ac:dyDescent="0.25">
      <c r="C171" s="189"/>
      <c r="D171" s="156"/>
      <c r="E171" s="190"/>
      <c r="F171" s="147" t="e">
        <f>VLOOKUP(G171,'Input keuzevariabelen'!$E$11:$I$80,2,FALSE)</f>
        <v>#N/A</v>
      </c>
      <c r="G171" s="156"/>
      <c r="H171" s="209"/>
      <c r="I171" s="148" t="e">
        <f>VLOOKUP(G171,'Input keuzevariabelen'!$E$11:$I$80,3,FALSE)</f>
        <v>#N/A</v>
      </c>
      <c r="J171" s="211">
        <f>SUMIFS('Input keuzevariabelen'!$H$11:$H$80,'Input keuzevariabelen'!$E$11:$E$80,Data!G171,'Input keuzevariabelen'!$J$11:$J$80,Data!D171)</f>
        <v>0</v>
      </c>
      <c r="K171" s="148" t="e">
        <f>VLOOKUP(G171,'Input keuzevariabelen'!$E$11:$I$80,5,FALSE)</f>
        <v>#N/A</v>
      </c>
      <c r="L171" s="208">
        <f t="shared" si="50"/>
        <v>0</v>
      </c>
      <c r="M171" s="208">
        <f t="shared" si="51"/>
        <v>0</v>
      </c>
      <c r="N171" s="156"/>
      <c r="O171" s="156"/>
      <c r="P171" s="157"/>
    </row>
    <row r="172" spans="2:17" ht="18" thickTop="1" thickBot="1" x14ac:dyDescent="0.25">
      <c r="C172" s="189"/>
      <c r="D172" s="156"/>
      <c r="E172" s="190"/>
      <c r="F172" s="147" t="e">
        <f>VLOOKUP(G172,'Input keuzevariabelen'!$E$11:$I$80,2,FALSE)</f>
        <v>#N/A</v>
      </c>
      <c r="G172" s="156"/>
      <c r="H172" s="209"/>
      <c r="I172" s="148" t="e">
        <f>VLOOKUP(G172,'Input keuzevariabelen'!$E$11:$I$80,3,FALSE)</f>
        <v>#N/A</v>
      </c>
      <c r="J172" s="211">
        <f>SUMIFS('Input keuzevariabelen'!$H$11:$H$80,'Input keuzevariabelen'!$E$11:$E$80,Data!G172,'Input keuzevariabelen'!$J$11:$J$80,Data!D172)</f>
        <v>0</v>
      </c>
      <c r="K172" s="148" t="e">
        <f>VLOOKUP(G172,'Input keuzevariabelen'!$E$11:$I$80,5,FALSE)</f>
        <v>#N/A</v>
      </c>
      <c r="L172" s="208">
        <f t="shared" si="50"/>
        <v>0</v>
      </c>
      <c r="M172" s="208">
        <f t="shared" si="51"/>
        <v>0</v>
      </c>
      <c r="N172" s="156"/>
      <c r="O172" s="156"/>
      <c r="P172" s="157"/>
    </row>
    <row r="173" spans="2:17" ht="18" thickTop="1" thickBot="1" x14ac:dyDescent="0.25">
      <c r="C173" s="189"/>
      <c r="D173" s="156"/>
      <c r="E173" s="190"/>
      <c r="F173" s="147" t="e">
        <f>VLOOKUP(G173,'Input keuzevariabelen'!$E$11:$I$80,2,FALSE)</f>
        <v>#N/A</v>
      </c>
      <c r="G173" s="156"/>
      <c r="H173" s="209"/>
      <c r="I173" s="148" t="e">
        <f>VLOOKUP(G173,'Input keuzevariabelen'!$E$11:$I$80,3,FALSE)</f>
        <v>#N/A</v>
      </c>
      <c r="J173" s="211">
        <f>SUMIFS('Input keuzevariabelen'!$H$11:$H$80,'Input keuzevariabelen'!$E$11:$E$80,Data!G173,'Input keuzevariabelen'!$J$11:$J$80,Data!D173)</f>
        <v>0</v>
      </c>
      <c r="K173" s="148" t="e">
        <f>VLOOKUP(G173,'Input keuzevariabelen'!$E$11:$I$80,5,FALSE)</f>
        <v>#N/A</v>
      </c>
      <c r="L173" s="208">
        <f t="shared" si="50"/>
        <v>0</v>
      </c>
      <c r="M173" s="208">
        <f t="shared" si="51"/>
        <v>0</v>
      </c>
      <c r="N173" s="156"/>
      <c r="O173" s="156"/>
      <c r="P173" s="157"/>
    </row>
    <row r="174" spans="2:17" ht="18" thickTop="1" thickBot="1" x14ac:dyDescent="0.25">
      <c r="C174" s="189"/>
      <c r="D174" s="156"/>
      <c r="E174" s="190"/>
      <c r="F174" s="147" t="e">
        <f>VLOOKUP(G174,'Input keuzevariabelen'!$E$11:$I$80,2,FALSE)</f>
        <v>#N/A</v>
      </c>
      <c r="G174" s="156"/>
      <c r="H174" s="209"/>
      <c r="I174" s="148" t="e">
        <f>VLOOKUP(G174,'Input keuzevariabelen'!$E$11:$I$80,3,FALSE)</f>
        <v>#N/A</v>
      </c>
      <c r="J174" s="211">
        <f>SUMIFS('Input keuzevariabelen'!$H$11:$H$80,'Input keuzevariabelen'!$E$11:$E$80,Data!G174,'Input keuzevariabelen'!$J$11:$J$80,Data!D174)</f>
        <v>0</v>
      </c>
      <c r="K174" s="148" t="e">
        <f>VLOOKUP(G174,'Input keuzevariabelen'!$E$11:$I$80,5,FALSE)</f>
        <v>#N/A</v>
      </c>
      <c r="L174" s="208">
        <f t="shared" si="50"/>
        <v>0</v>
      </c>
      <c r="M174" s="208">
        <f t="shared" si="51"/>
        <v>0</v>
      </c>
      <c r="N174" s="156"/>
      <c r="O174" s="156"/>
      <c r="P174" s="157"/>
    </row>
    <row r="175" spans="2:17" ht="18" thickTop="1" thickBot="1" x14ac:dyDescent="0.25">
      <c r="C175" s="189"/>
      <c r="D175" s="156"/>
      <c r="E175" s="190"/>
      <c r="F175" s="147" t="e">
        <f>VLOOKUP(G175,'Input keuzevariabelen'!$E$11:$I$80,2,FALSE)</f>
        <v>#N/A</v>
      </c>
      <c r="G175" s="156"/>
      <c r="H175" s="209"/>
      <c r="I175" s="148" t="e">
        <f>VLOOKUP(G175,'Input keuzevariabelen'!$E$11:$I$80,3,FALSE)</f>
        <v>#N/A</v>
      </c>
      <c r="J175" s="211">
        <f>SUMIFS('Input keuzevariabelen'!$H$11:$H$80,'Input keuzevariabelen'!$E$11:$E$80,Data!G175,'Input keuzevariabelen'!$J$11:$J$80,Data!D175)</f>
        <v>0</v>
      </c>
      <c r="K175" s="148" t="e">
        <f>VLOOKUP(G175,'Input keuzevariabelen'!$E$11:$I$80,5,FALSE)</f>
        <v>#N/A</v>
      </c>
      <c r="L175" s="208">
        <f t="shared" si="50"/>
        <v>0</v>
      </c>
      <c r="M175" s="208">
        <f t="shared" si="51"/>
        <v>0</v>
      </c>
      <c r="N175" s="156"/>
      <c r="O175" s="156"/>
      <c r="P175" s="157"/>
    </row>
    <row r="176" spans="2:17" ht="18" thickTop="1" thickBot="1" x14ac:dyDescent="0.25">
      <c r="C176" s="189"/>
      <c r="D176" s="156"/>
      <c r="E176" s="190"/>
      <c r="F176" s="147" t="e">
        <f>VLOOKUP(G176,'Input keuzevariabelen'!$E$11:$I$80,2,FALSE)</f>
        <v>#N/A</v>
      </c>
      <c r="G176" s="156"/>
      <c r="H176" s="209"/>
      <c r="I176" s="148" t="e">
        <f>VLOOKUP(G176,'Input keuzevariabelen'!$E$11:$I$80,3,FALSE)</f>
        <v>#N/A</v>
      </c>
      <c r="J176" s="211">
        <f>SUMIFS('Input keuzevariabelen'!$H$11:$H$80,'Input keuzevariabelen'!$E$11:$E$80,Data!G176,'Input keuzevariabelen'!$J$11:$J$80,Data!D176)</f>
        <v>0</v>
      </c>
      <c r="K176" s="148" t="e">
        <f>VLOOKUP(G176,'Input keuzevariabelen'!$E$11:$I$80,5,FALSE)</f>
        <v>#N/A</v>
      </c>
      <c r="L176" s="208">
        <f t="shared" si="50"/>
        <v>0</v>
      </c>
      <c r="M176" s="208">
        <f t="shared" si="51"/>
        <v>0</v>
      </c>
      <c r="N176" s="156"/>
      <c r="O176" s="156"/>
      <c r="P176" s="157"/>
    </row>
    <row r="177" spans="3:16" ht="18" thickTop="1" thickBot="1" x14ac:dyDescent="0.25">
      <c r="C177" s="189"/>
      <c r="D177" s="156"/>
      <c r="E177" s="190"/>
      <c r="F177" s="147" t="e">
        <f>VLOOKUP(G177,'Input keuzevariabelen'!$E$11:$I$80,2,FALSE)</f>
        <v>#N/A</v>
      </c>
      <c r="G177" s="156"/>
      <c r="H177" s="209"/>
      <c r="I177" s="148" t="e">
        <f>VLOOKUP(G177,'Input keuzevariabelen'!$E$11:$I$80,3,FALSE)</f>
        <v>#N/A</v>
      </c>
      <c r="J177" s="211">
        <f>SUMIFS('Input keuzevariabelen'!$H$11:$H$80,'Input keuzevariabelen'!$E$11:$E$80,Data!G177,'Input keuzevariabelen'!$J$11:$J$80,Data!D177)</f>
        <v>0</v>
      </c>
      <c r="K177" s="148" t="e">
        <f>VLOOKUP(G177,'Input keuzevariabelen'!$E$11:$I$80,5,FALSE)</f>
        <v>#N/A</v>
      </c>
      <c r="L177" s="208">
        <f t="shared" si="50"/>
        <v>0</v>
      </c>
      <c r="M177" s="208">
        <f t="shared" si="51"/>
        <v>0</v>
      </c>
      <c r="N177" s="156"/>
      <c r="O177" s="156"/>
      <c r="P177" s="157"/>
    </row>
    <row r="178" spans="3:16" ht="18" thickTop="1" thickBot="1" x14ac:dyDescent="0.25">
      <c r="C178" s="189"/>
      <c r="D178" s="156"/>
      <c r="E178" s="190"/>
      <c r="F178" s="147" t="e">
        <f>VLOOKUP(G178,'Input keuzevariabelen'!$E$11:$I$80,2,FALSE)</f>
        <v>#N/A</v>
      </c>
      <c r="G178" s="156"/>
      <c r="H178" s="209"/>
      <c r="I178" s="148" t="e">
        <f>VLOOKUP(G178,'Input keuzevariabelen'!$E$11:$I$80,3,FALSE)</f>
        <v>#N/A</v>
      </c>
      <c r="J178" s="211">
        <f>SUMIFS('Input keuzevariabelen'!$H$11:$H$80,'Input keuzevariabelen'!$E$11:$E$80,Data!G178,'Input keuzevariabelen'!$J$11:$J$80,Data!D178)</f>
        <v>0</v>
      </c>
      <c r="K178" s="148" t="e">
        <f>VLOOKUP(G178,'Input keuzevariabelen'!$E$11:$I$80,5,FALSE)</f>
        <v>#N/A</v>
      </c>
      <c r="L178" s="208">
        <f t="shared" si="50"/>
        <v>0</v>
      </c>
      <c r="M178" s="208">
        <f t="shared" si="51"/>
        <v>0</v>
      </c>
      <c r="N178" s="156"/>
      <c r="O178" s="156"/>
      <c r="P178" s="157"/>
    </row>
    <row r="179" spans="3:16" ht="18" thickTop="1" thickBot="1" x14ac:dyDescent="0.25">
      <c r="C179" s="189"/>
      <c r="D179" s="156"/>
      <c r="E179" s="190"/>
      <c r="F179" s="147" t="e">
        <f>VLOOKUP(G179,'Input keuzevariabelen'!$E$11:$I$80,2,FALSE)</f>
        <v>#N/A</v>
      </c>
      <c r="G179" s="156"/>
      <c r="H179" s="209"/>
      <c r="I179" s="148" t="e">
        <f>VLOOKUP(G179,'Input keuzevariabelen'!$E$11:$I$80,3,FALSE)</f>
        <v>#N/A</v>
      </c>
      <c r="J179" s="211">
        <f>SUMIFS('Input keuzevariabelen'!$H$11:$H$80,'Input keuzevariabelen'!$E$11:$E$80,Data!G179,'Input keuzevariabelen'!$J$11:$J$80,Data!D179)</f>
        <v>0</v>
      </c>
      <c r="K179" s="148" t="e">
        <f>VLOOKUP(G179,'Input keuzevariabelen'!$E$11:$I$80,5,FALSE)</f>
        <v>#N/A</v>
      </c>
      <c r="L179" s="208">
        <f t="shared" si="50"/>
        <v>0</v>
      </c>
      <c r="M179" s="208">
        <f t="shared" si="51"/>
        <v>0</v>
      </c>
      <c r="N179" s="156"/>
      <c r="O179" s="156"/>
      <c r="P179" s="157"/>
    </row>
    <row r="180" spans="3:16" ht="18" thickTop="1" thickBot="1" x14ac:dyDescent="0.25">
      <c r="C180" s="189"/>
      <c r="D180" s="156"/>
      <c r="E180" s="190"/>
      <c r="F180" s="147" t="e">
        <f>VLOOKUP(G180,'Input keuzevariabelen'!$E$11:$I$80,2,FALSE)</f>
        <v>#N/A</v>
      </c>
      <c r="G180" s="156"/>
      <c r="H180" s="209"/>
      <c r="I180" s="148" t="e">
        <f>VLOOKUP(G180,'Input keuzevariabelen'!$E$11:$I$80,3,FALSE)</f>
        <v>#N/A</v>
      </c>
      <c r="J180" s="211">
        <f>SUMIFS('Input keuzevariabelen'!$H$11:$H$80,'Input keuzevariabelen'!$E$11:$E$80,Data!G180,'Input keuzevariabelen'!$J$11:$J$80,Data!D180)</f>
        <v>0</v>
      </c>
      <c r="K180" s="148" t="e">
        <f>VLOOKUP(G180,'Input keuzevariabelen'!$E$11:$I$80,5,FALSE)</f>
        <v>#N/A</v>
      </c>
      <c r="L180" s="208">
        <f t="shared" si="50"/>
        <v>0</v>
      </c>
      <c r="M180" s="208">
        <f t="shared" si="51"/>
        <v>0</v>
      </c>
      <c r="N180" s="156"/>
      <c r="O180" s="156"/>
      <c r="P180" s="157"/>
    </row>
    <row r="181" spans="3:16" ht="18" thickTop="1" thickBot="1" x14ac:dyDescent="0.25">
      <c r="C181" s="189"/>
      <c r="D181" s="156"/>
      <c r="E181" s="190"/>
      <c r="F181" s="147" t="e">
        <f>VLOOKUP(G181,'Input keuzevariabelen'!$E$11:$I$80,2,FALSE)</f>
        <v>#N/A</v>
      </c>
      <c r="G181" s="156"/>
      <c r="H181" s="209"/>
      <c r="I181" s="148" t="e">
        <f>VLOOKUP(G181,'Input keuzevariabelen'!$E$11:$I$80,3,FALSE)</f>
        <v>#N/A</v>
      </c>
      <c r="J181" s="211">
        <f>SUMIFS('Input keuzevariabelen'!$H$11:$H$80,'Input keuzevariabelen'!$E$11:$E$80,Data!G181,'Input keuzevariabelen'!$J$11:$J$80,Data!D181)</f>
        <v>0</v>
      </c>
      <c r="K181" s="148" t="e">
        <f>VLOOKUP(G181,'Input keuzevariabelen'!$E$11:$I$80,5,FALSE)</f>
        <v>#N/A</v>
      </c>
      <c r="L181" s="208">
        <f t="shared" si="50"/>
        <v>0</v>
      </c>
      <c r="M181" s="208">
        <f t="shared" si="51"/>
        <v>0</v>
      </c>
      <c r="N181" s="156"/>
      <c r="O181" s="156"/>
      <c r="P181" s="157"/>
    </row>
    <row r="182" spans="3:16" ht="18" thickTop="1" thickBot="1" x14ac:dyDescent="0.25">
      <c r="C182" s="189"/>
      <c r="D182" s="156"/>
      <c r="E182" s="190"/>
      <c r="F182" s="147" t="e">
        <f>VLOOKUP(G182,'Input keuzevariabelen'!$E$11:$I$80,2,FALSE)</f>
        <v>#N/A</v>
      </c>
      <c r="G182" s="156"/>
      <c r="H182" s="209"/>
      <c r="I182" s="148" t="e">
        <f>VLOOKUP(G182,'Input keuzevariabelen'!$E$11:$I$80,3,FALSE)</f>
        <v>#N/A</v>
      </c>
      <c r="J182" s="211">
        <f>SUMIFS('Input keuzevariabelen'!$H$11:$H$80,'Input keuzevariabelen'!$E$11:$E$80,Data!G182,'Input keuzevariabelen'!$J$11:$J$80,Data!D182)</f>
        <v>0</v>
      </c>
      <c r="K182" s="148" t="e">
        <f>VLOOKUP(G182,'Input keuzevariabelen'!$E$11:$I$80,5,FALSE)</f>
        <v>#N/A</v>
      </c>
      <c r="L182" s="208">
        <f t="shared" si="50"/>
        <v>0</v>
      </c>
      <c r="M182" s="208">
        <f t="shared" si="51"/>
        <v>0</v>
      </c>
      <c r="N182" s="156"/>
      <c r="O182" s="156"/>
      <c r="P182" s="157"/>
    </row>
    <row r="183" spans="3:16" ht="18" thickTop="1" thickBot="1" x14ac:dyDescent="0.25">
      <c r="C183" s="189"/>
      <c r="D183" s="156"/>
      <c r="E183" s="190"/>
      <c r="F183" s="147" t="e">
        <f>VLOOKUP(G183,'Input keuzevariabelen'!$E$11:$I$80,2,FALSE)</f>
        <v>#N/A</v>
      </c>
      <c r="G183" s="156"/>
      <c r="H183" s="209"/>
      <c r="I183" s="148" t="e">
        <f>VLOOKUP(G183,'Input keuzevariabelen'!$E$11:$I$80,3,FALSE)</f>
        <v>#N/A</v>
      </c>
      <c r="J183" s="211">
        <f>SUMIFS('Input keuzevariabelen'!$H$11:$H$80,'Input keuzevariabelen'!$E$11:$E$80,Data!G183,'Input keuzevariabelen'!$J$11:$J$80,Data!D183)</f>
        <v>0</v>
      </c>
      <c r="K183" s="148" t="e">
        <f>VLOOKUP(G183,'Input keuzevariabelen'!$E$11:$I$80,5,FALSE)</f>
        <v>#N/A</v>
      </c>
      <c r="L183" s="208">
        <f t="shared" si="50"/>
        <v>0</v>
      </c>
      <c r="M183" s="208">
        <f t="shared" si="51"/>
        <v>0</v>
      </c>
      <c r="N183" s="156"/>
      <c r="O183" s="156"/>
      <c r="P183" s="157"/>
    </row>
    <row r="184" spans="3:16" ht="18" thickTop="1" thickBot="1" x14ac:dyDescent="0.25">
      <c r="C184" s="189"/>
      <c r="D184" s="156"/>
      <c r="E184" s="190"/>
      <c r="F184" s="147" t="e">
        <f>VLOOKUP(G184,'Input keuzevariabelen'!$E$11:$I$80,2,FALSE)</f>
        <v>#N/A</v>
      </c>
      <c r="G184" s="156"/>
      <c r="H184" s="209"/>
      <c r="I184" s="148" t="e">
        <f>VLOOKUP(G184,'Input keuzevariabelen'!$E$11:$I$80,3,FALSE)</f>
        <v>#N/A</v>
      </c>
      <c r="J184" s="211">
        <f>SUMIFS('Input keuzevariabelen'!$H$11:$H$80,'Input keuzevariabelen'!$E$11:$E$80,Data!G184,'Input keuzevariabelen'!$J$11:$J$80,Data!D184)</f>
        <v>0</v>
      </c>
      <c r="K184" s="148" t="e">
        <f>VLOOKUP(G184,'Input keuzevariabelen'!$E$11:$I$80,5,FALSE)</f>
        <v>#N/A</v>
      </c>
      <c r="L184" s="208">
        <f t="shared" si="50"/>
        <v>0</v>
      </c>
      <c r="M184" s="208">
        <f t="shared" si="51"/>
        <v>0</v>
      </c>
      <c r="N184" s="156"/>
      <c r="O184" s="156"/>
      <c r="P184" s="157"/>
    </row>
    <row r="185" spans="3:16" ht="18" thickTop="1" thickBot="1" x14ac:dyDescent="0.25">
      <c r="C185" s="189"/>
      <c r="D185" s="156"/>
      <c r="E185" s="190"/>
      <c r="F185" s="147" t="e">
        <f>VLOOKUP(G185,'Input keuzevariabelen'!$E$11:$I$80,2,FALSE)</f>
        <v>#N/A</v>
      </c>
      <c r="G185" s="156"/>
      <c r="H185" s="209"/>
      <c r="I185" s="148" t="e">
        <f>VLOOKUP(G185,'Input keuzevariabelen'!$E$11:$I$80,3,FALSE)</f>
        <v>#N/A</v>
      </c>
      <c r="J185" s="211">
        <f>SUMIFS('Input keuzevariabelen'!$H$11:$H$80,'Input keuzevariabelen'!$E$11:$E$80,Data!G185,'Input keuzevariabelen'!$J$11:$J$80,Data!D185)</f>
        <v>0</v>
      </c>
      <c r="K185" s="148" t="e">
        <f>VLOOKUP(G185,'Input keuzevariabelen'!$E$11:$I$80,5,FALSE)</f>
        <v>#N/A</v>
      </c>
      <c r="L185" s="208">
        <f t="shared" si="50"/>
        <v>0</v>
      </c>
      <c r="M185" s="208">
        <f t="shared" si="51"/>
        <v>0</v>
      </c>
      <c r="N185" s="156"/>
      <c r="O185" s="156"/>
      <c r="P185" s="157"/>
    </row>
    <row r="186" spans="3:16" ht="18" thickTop="1" thickBot="1" x14ac:dyDescent="0.25">
      <c r="C186" s="189"/>
      <c r="D186" s="156"/>
      <c r="E186" s="190"/>
      <c r="F186" s="147" t="e">
        <f>VLOOKUP(G186,'Input keuzevariabelen'!$E$11:$I$80,2,FALSE)</f>
        <v>#N/A</v>
      </c>
      <c r="G186" s="156"/>
      <c r="H186" s="209"/>
      <c r="I186" s="148" t="e">
        <f>VLOOKUP(G186,'Input keuzevariabelen'!$E$11:$I$80,3,FALSE)</f>
        <v>#N/A</v>
      </c>
      <c r="J186" s="211">
        <f>SUMIFS('Input keuzevariabelen'!$H$11:$H$80,'Input keuzevariabelen'!$E$11:$E$80,Data!G186,'Input keuzevariabelen'!$J$11:$J$80,Data!D186)</f>
        <v>0</v>
      </c>
      <c r="K186" s="148" t="e">
        <f>VLOOKUP(G186,'Input keuzevariabelen'!$E$11:$I$80,5,FALSE)</f>
        <v>#N/A</v>
      </c>
      <c r="L186" s="208">
        <f t="shared" si="50"/>
        <v>0</v>
      </c>
      <c r="M186" s="208">
        <f t="shared" si="51"/>
        <v>0</v>
      </c>
      <c r="N186" s="156"/>
      <c r="O186" s="156"/>
      <c r="P186" s="157"/>
    </row>
    <row r="187" spans="3:16" ht="18" thickTop="1" thickBot="1" x14ac:dyDescent="0.25">
      <c r="C187" s="189"/>
      <c r="D187" s="156"/>
      <c r="E187" s="190"/>
      <c r="F187" s="147" t="e">
        <f>VLOOKUP(G187,'Input keuzevariabelen'!$E$11:$I$80,2,FALSE)</f>
        <v>#N/A</v>
      </c>
      <c r="G187" s="156"/>
      <c r="H187" s="209"/>
      <c r="I187" s="148" t="e">
        <f>VLOOKUP(G187,'Input keuzevariabelen'!$E$11:$I$80,3,FALSE)</f>
        <v>#N/A</v>
      </c>
      <c r="J187" s="211">
        <f>SUMIFS('Input keuzevariabelen'!$H$11:$H$80,'Input keuzevariabelen'!$E$11:$E$80,Data!G187,'Input keuzevariabelen'!$J$11:$J$80,Data!D187)</f>
        <v>0</v>
      </c>
      <c r="K187" s="148" t="e">
        <f>VLOOKUP(G187,'Input keuzevariabelen'!$E$11:$I$80,5,FALSE)</f>
        <v>#N/A</v>
      </c>
      <c r="L187" s="208">
        <f t="shared" si="50"/>
        <v>0</v>
      </c>
      <c r="M187" s="208">
        <f t="shared" si="51"/>
        <v>0</v>
      </c>
      <c r="N187" s="156"/>
      <c r="O187" s="156"/>
      <c r="P187" s="157"/>
    </row>
    <row r="188" spans="3:16" ht="18" thickTop="1" thickBot="1" x14ac:dyDescent="0.25">
      <c r="C188" s="189"/>
      <c r="D188" s="156"/>
      <c r="E188" s="190"/>
      <c r="F188" s="147" t="e">
        <f>VLOOKUP(G188,'Input keuzevariabelen'!$E$11:$I$80,2,FALSE)</f>
        <v>#N/A</v>
      </c>
      <c r="G188" s="156"/>
      <c r="H188" s="209"/>
      <c r="I188" s="148" t="e">
        <f>VLOOKUP(G188,'Input keuzevariabelen'!$E$11:$I$80,3,FALSE)</f>
        <v>#N/A</v>
      </c>
      <c r="J188" s="211">
        <f>SUMIFS('Input keuzevariabelen'!$H$11:$H$80,'Input keuzevariabelen'!$E$11:$E$80,Data!G188,'Input keuzevariabelen'!$J$11:$J$80,Data!D188)</f>
        <v>0</v>
      </c>
      <c r="K188" s="148" t="e">
        <f>VLOOKUP(G188,'Input keuzevariabelen'!$E$11:$I$80,5,FALSE)</f>
        <v>#N/A</v>
      </c>
      <c r="L188" s="208">
        <f t="shared" si="50"/>
        <v>0</v>
      </c>
      <c r="M188" s="208">
        <f t="shared" si="51"/>
        <v>0</v>
      </c>
      <c r="N188" s="156"/>
      <c r="O188" s="156"/>
      <c r="P188" s="157"/>
    </row>
    <row r="189" spans="3:16" ht="18" thickTop="1" thickBot="1" x14ac:dyDescent="0.25">
      <c r="C189" s="189"/>
      <c r="D189" s="156"/>
      <c r="E189" s="190"/>
      <c r="F189" s="147" t="e">
        <f>VLOOKUP(G189,'Input keuzevariabelen'!$E$11:$I$80,2,FALSE)</f>
        <v>#N/A</v>
      </c>
      <c r="G189" s="156"/>
      <c r="H189" s="209"/>
      <c r="I189" s="148" t="e">
        <f>VLOOKUP(G189,'Input keuzevariabelen'!$E$11:$I$80,3,FALSE)</f>
        <v>#N/A</v>
      </c>
      <c r="J189" s="211">
        <f>SUMIFS('Input keuzevariabelen'!$H$11:$H$80,'Input keuzevariabelen'!$E$11:$E$80,Data!G189,'Input keuzevariabelen'!$J$11:$J$80,Data!D189)</f>
        <v>0</v>
      </c>
      <c r="K189" s="148" t="e">
        <f>VLOOKUP(G189,'Input keuzevariabelen'!$E$11:$I$80,5,FALSE)</f>
        <v>#N/A</v>
      </c>
      <c r="L189" s="208">
        <f t="shared" si="50"/>
        <v>0</v>
      </c>
      <c r="M189" s="208">
        <f t="shared" si="51"/>
        <v>0</v>
      </c>
      <c r="N189" s="156"/>
      <c r="O189" s="156"/>
      <c r="P189" s="157"/>
    </row>
    <row r="190" spans="3:16" ht="18" thickTop="1" thickBot="1" x14ac:dyDescent="0.25">
      <c r="C190" s="189"/>
      <c r="D190" s="156"/>
      <c r="E190" s="190"/>
      <c r="F190" s="147" t="e">
        <f>VLOOKUP(G190,'Input keuzevariabelen'!$E$11:$I$80,2,FALSE)</f>
        <v>#N/A</v>
      </c>
      <c r="G190" s="156"/>
      <c r="H190" s="209"/>
      <c r="I190" s="148" t="e">
        <f>VLOOKUP(G190,'Input keuzevariabelen'!$E$11:$I$80,3,FALSE)</f>
        <v>#N/A</v>
      </c>
      <c r="J190" s="211">
        <f>SUMIFS('Input keuzevariabelen'!$H$11:$H$80,'Input keuzevariabelen'!$E$11:$E$80,Data!G190,'Input keuzevariabelen'!$J$11:$J$80,Data!D190)</f>
        <v>0</v>
      </c>
      <c r="K190" s="148" t="e">
        <f>VLOOKUP(G190,'Input keuzevariabelen'!$E$11:$I$80,5,FALSE)</f>
        <v>#N/A</v>
      </c>
      <c r="L190" s="208">
        <f t="shared" si="50"/>
        <v>0</v>
      </c>
      <c r="M190" s="208">
        <f t="shared" si="51"/>
        <v>0</v>
      </c>
      <c r="N190" s="156"/>
      <c r="O190" s="156"/>
      <c r="P190" s="157"/>
    </row>
    <row r="191" spans="3:16" ht="18" thickTop="1" thickBot="1" x14ac:dyDescent="0.25">
      <c r="C191" s="189"/>
      <c r="D191" s="156"/>
      <c r="E191" s="190"/>
      <c r="F191" s="147" t="e">
        <f>VLOOKUP(G191,'Input keuzevariabelen'!$E$11:$I$80,2,FALSE)</f>
        <v>#N/A</v>
      </c>
      <c r="G191" s="156"/>
      <c r="H191" s="209"/>
      <c r="I191" s="148" t="e">
        <f>VLOOKUP(G191,'Input keuzevariabelen'!$E$11:$I$80,3,FALSE)</f>
        <v>#N/A</v>
      </c>
      <c r="J191" s="211">
        <f>SUMIFS('Input keuzevariabelen'!$H$11:$H$80,'Input keuzevariabelen'!$E$11:$E$80,Data!G191,'Input keuzevariabelen'!$J$11:$J$80,Data!D191)</f>
        <v>0</v>
      </c>
      <c r="K191" s="148" t="e">
        <f>VLOOKUP(G191,'Input keuzevariabelen'!$E$11:$I$80,5,FALSE)</f>
        <v>#N/A</v>
      </c>
      <c r="L191" s="208">
        <f t="shared" si="50"/>
        <v>0</v>
      </c>
      <c r="M191" s="208">
        <f t="shared" si="51"/>
        <v>0</v>
      </c>
      <c r="N191" s="156"/>
      <c r="O191" s="156"/>
      <c r="P191" s="157"/>
    </row>
    <row r="192" spans="3:16" ht="18" thickTop="1" thickBot="1" x14ac:dyDescent="0.25">
      <c r="C192" s="189"/>
      <c r="D192" s="156"/>
      <c r="E192" s="190"/>
      <c r="F192" s="147" t="e">
        <f>VLOOKUP(G192,'Input keuzevariabelen'!$E$11:$I$80,2,FALSE)</f>
        <v>#N/A</v>
      </c>
      <c r="G192" s="156"/>
      <c r="H192" s="209"/>
      <c r="I192" s="148" t="e">
        <f>VLOOKUP(G192,'Input keuzevariabelen'!$E$11:$I$80,3,FALSE)</f>
        <v>#N/A</v>
      </c>
      <c r="J192" s="211">
        <f>SUMIFS('Input keuzevariabelen'!$H$11:$H$80,'Input keuzevariabelen'!$E$11:$E$80,Data!G192,'Input keuzevariabelen'!$J$11:$J$80,Data!D192)</f>
        <v>0</v>
      </c>
      <c r="K192" s="148" t="e">
        <f>VLOOKUP(G192,'Input keuzevariabelen'!$E$11:$I$80,5,FALSE)</f>
        <v>#N/A</v>
      </c>
      <c r="L192" s="208">
        <f t="shared" si="50"/>
        <v>0</v>
      </c>
      <c r="M192" s="208">
        <f t="shared" si="51"/>
        <v>0</v>
      </c>
      <c r="N192" s="156"/>
      <c r="O192" s="156"/>
      <c r="P192" s="157"/>
    </row>
    <row r="193" spans="3:16" ht="18" thickTop="1" thickBot="1" x14ac:dyDescent="0.25">
      <c r="C193" s="189"/>
      <c r="D193" s="156"/>
      <c r="E193" s="190"/>
      <c r="F193" s="147" t="e">
        <f>VLOOKUP(G193,'Input keuzevariabelen'!$E$11:$I$80,2,FALSE)</f>
        <v>#N/A</v>
      </c>
      <c r="G193" s="156"/>
      <c r="H193" s="209"/>
      <c r="I193" s="148" t="e">
        <f>VLOOKUP(G193,'Input keuzevariabelen'!$E$11:$I$80,3,FALSE)</f>
        <v>#N/A</v>
      </c>
      <c r="J193" s="211">
        <f>SUMIFS('Input keuzevariabelen'!$H$11:$H$80,'Input keuzevariabelen'!$E$11:$E$80,Data!G193,'Input keuzevariabelen'!$J$11:$J$80,Data!D193)</f>
        <v>0</v>
      </c>
      <c r="K193" s="148" t="e">
        <f>VLOOKUP(G193,'Input keuzevariabelen'!$E$11:$I$80,5,FALSE)</f>
        <v>#N/A</v>
      </c>
      <c r="L193" s="208">
        <f t="shared" si="50"/>
        <v>0</v>
      </c>
      <c r="M193" s="208">
        <f t="shared" si="51"/>
        <v>0</v>
      </c>
      <c r="N193" s="156"/>
      <c r="O193" s="156"/>
      <c r="P193" s="157"/>
    </row>
    <row r="194" spans="3:16" ht="18" thickTop="1" thickBot="1" x14ac:dyDescent="0.25">
      <c r="C194" s="189"/>
      <c r="D194" s="156"/>
      <c r="E194" s="190"/>
      <c r="F194" s="147" t="e">
        <f>VLOOKUP(G194,'Input keuzevariabelen'!$E$11:$I$80,2,FALSE)</f>
        <v>#N/A</v>
      </c>
      <c r="G194" s="156"/>
      <c r="H194" s="209"/>
      <c r="I194" s="148" t="e">
        <f>VLOOKUP(G194,'Input keuzevariabelen'!$E$11:$I$80,3,FALSE)</f>
        <v>#N/A</v>
      </c>
      <c r="J194" s="211">
        <f>SUMIFS('Input keuzevariabelen'!$H$11:$H$80,'Input keuzevariabelen'!$E$11:$E$80,Data!G194,'Input keuzevariabelen'!$J$11:$J$80,Data!D194)</f>
        <v>0</v>
      </c>
      <c r="K194" s="148" t="e">
        <f>VLOOKUP(G194,'Input keuzevariabelen'!$E$11:$I$80,5,FALSE)</f>
        <v>#N/A</v>
      </c>
      <c r="L194" s="208">
        <f t="shared" si="50"/>
        <v>0</v>
      </c>
      <c r="M194" s="208">
        <f t="shared" si="51"/>
        <v>0</v>
      </c>
      <c r="N194" s="156"/>
      <c r="O194" s="156"/>
      <c r="P194" s="157"/>
    </row>
    <row r="195" spans="3:16" ht="18" thickTop="1" thickBot="1" x14ac:dyDescent="0.25">
      <c r="C195" s="189"/>
      <c r="D195" s="156"/>
      <c r="E195" s="190"/>
      <c r="F195" s="147" t="e">
        <f>VLOOKUP(G195,'Input keuzevariabelen'!$E$11:$I$80,2,FALSE)</f>
        <v>#N/A</v>
      </c>
      <c r="G195" s="156"/>
      <c r="H195" s="209"/>
      <c r="I195" s="148" t="e">
        <f>VLOOKUP(G195,'Input keuzevariabelen'!$E$11:$I$80,3,FALSE)</f>
        <v>#N/A</v>
      </c>
      <c r="J195" s="211">
        <f>SUMIFS('Input keuzevariabelen'!$H$11:$H$80,'Input keuzevariabelen'!$E$11:$E$80,Data!G195,'Input keuzevariabelen'!$J$11:$J$80,Data!D195)</f>
        <v>0</v>
      </c>
      <c r="K195" s="148" t="e">
        <f>VLOOKUP(G195,'Input keuzevariabelen'!$E$11:$I$80,5,FALSE)</f>
        <v>#N/A</v>
      </c>
      <c r="L195" s="208">
        <f t="shared" si="50"/>
        <v>0</v>
      </c>
      <c r="M195" s="208">
        <f t="shared" si="51"/>
        <v>0</v>
      </c>
      <c r="N195" s="156"/>
      <c r="O195" s="156"/>
      <c r="P195" s="157"/>
    </row>
    <row r="196" spans="3:16" ht="18" thickTop="1" thickBot="1" x14ac:dyDescent="0.25">
      <c r="C196" s="189"/>
      <c r="D196" s="156"/>
      <c r="E196" s="190"/>
      <c r="F196" s="147" t="e">
        <f>VLOOKUP(G196,'Input keuzevariabelen'!$E$11:$I$80,2,FALSE)</f>
        <v>#N/A</v>
      </c>
      <c r="G196" s="156"/>
      <c r="H196" s="209"/>
      <c r="I196" s="148" t="e">
        <f>VLOOKUP(G196,'Input keuzevariabelen'!$E$11:$I$80,3,FALSE)</f>
        <v>#N/A</v>
      </c>
      <c r="J196" s="211">
        <f>SUMIFS('Input keuzevariabelen'!$H$11:$H$80,'Input keuzevariabelen'!$E$11:$E$80,Data!G196,'Input keuzevariabelen'!$J$11:$J$80,Data!D196)</f>
        <v>0</v>
      </c>
      <c r="K196" s="148" t="e">
        <f>VLOOKUP(G196,'Input keuzevariabelen'!$E$11:$I$80,5,FALSE)</f>
        <v>#N/A</v>
      </c>
      <c r="L196" s="208">
        <f t="shared" si="50"/>
        <v>0</v>
      </c>
      <c r="M196" s="208">
        <f t="shared" si="51"/>
        <v>0</v>
      </c>
      <c r="N196" s="156"/>
      <c r="O196" s="156"/>
      <c r="P196" s="157"/>
    </row>
    <row r="197" spans="3:16" ht="18" thickTop="1" thickBot="1" x14ac:dyDescent="0.25">
      <c r="C197" s="189"/>
      <c r="D197" s="156"/>
      <c r="E197" s="190"/>
      <c r="F197" s="147" t="e">
        <f>VLOOKUP(G197,'Input keuzevariabelen'!$E$11:$I$80,2,FALSE)</f>
        <v>#N/A</v>
      </c>
      <c r="G197" s="156"/>
      <c r="H197" s="209"/>
      <c r="I197" s="148" t="e">
        <f>VLOOKUP(G197,'Input keuzevariabelen'!$E$11:$I$80,3,FALSE)</f>
        <v>#N/A</v>
      </c>
      <c r="J197" s="211">
        <f>SUMIFS('Input keuzevariabelen'!$H$11:$H$80,'Input keuzevariabelen'!$E$11:$E$80,Data!G197,'Input keuzevariabelen'!$J$11:$J$80,Data!D197)</f>
        <v>0</v>
      </c>
      <c r="K197" s="148" t="e">
        <f>VLOOKUP(G197,'Input keuzevariabelen'!$E$11:$I$80,5,FALSE)</f>
        <v>#N/A</v>
      </c>
      <c r="L197" s="208">
        <f t="shared" si="50"/>
        <v>0</v>
      </c>
      <c r="M197" s="208">
        <f t="shared" si="51"/>
        <v>0</v>
      </c>
      <c r="N197" s="156"/>
      <c r="O197" s="156"/>
      <c r="P197" s="157"/>
    </row>
    <row r="198" spans="3:16" ht="18" thickTop="1" thickBot="1" x14ac:dyDescent="0.25">
      <c r="C198" s="189"/>
      <c r="D198" s="156"/>
      <c r="E198" s="190"/>
      <c r="F198" s="147" t="e">
        <f>VLOOKUP(G198,'Input keuzevariabelen'!$E$11:$I$80,2,FALSE)</f>
        <v>#N/A</v>
      </c>
      <c r="G198" s="156"/>
      <c r="H198" s="209"/>
      <c r="I198" s="148" t="e">
        <f>VLOOKUP(G198,'Input keuzevariabelen'!$E$11:$I$80,3,FALSE)</f>
        <v>#N/A</v>
      </c>
      <c r="J198" s="211">
        <f>SUMIFS('Input keuzevariabelen'!$H$11:$H$80,'Input keuzevariabelen'!$E$11:$E$80,Data!G198,'Input keuzevariabelen'!$J$11:$J$80,Data!D198)</f>
        <v>0</v>
      </c>
      <c r="K198" s="148" t="e">
        <f>VLOOKUP(G198,'Input keuzevariabelen'!$E$11:$I$80,5,FALSE)</f>
        <v>#N/A</v>
      </c>
      <c r="L198" s="208">
        <f t="shared" si="50"/>
        <v>0</v>
      </c>
      <c r="M198" s="208">
        <f t="shared" si="51"/>
        <v>0</v>
      </c>
      <c r="N198" s="156"/>
      <c r="O198" s="156"/>
      <c r="P198" s="157"/>
    </row>
    <row r="199" spans="3:16" ht="18" thickTop="1" thickBot="1" x14ac:dyDescent="0.25">
      <c r="C199" s="189"/>
      <c r="D199" s="156"/>
      <c r="E199" s="190"/>
      <c r="F199" s="147" t="e">
        <f>VLOOKUP(G199,'Input keuzevariabelen'!$E$11:$I$80,2,FALSE)</f>
        <v>#N/A</v>
      </c>
      <c r="G199" s="156"/>
      <c r="H199" s="209"/>
      <c r="I199" s="148" t="e">
        <f>VLOOKUP(G199,'Input keuzevariabelen'!$E$11:$I$80,3,FALSE)</f>
        <v>#N/A</v>
      </c>
      <c r="J199" s="211">
        <f>SUMIFS('Input keuzevariabelen'!$H$11:$H$80,'Input keuzevariabelen'!$E$11:$E$80,Data!G199,'Input keuzevariabelen'!$J$11:$J$80,Data!D199)</f>
        <v>0</v>
      </c>
      <c r="K199" s="148" t="e">
        <f>VLOOKUP(G199,'Input keuzevariabelen'!$E$11:$I$80,5,FALSE)</f>
        <v>#N/A</v>
      </c>
      <c r="L199" s="208">
        <f t="shared" si="50"/>
        <v>0</v>
      </c>
      <c r="M199" s="208">
        <f t="shared" si="51"/>
        <v>0</v>
      </c>
      <c r="N199" s="156"/>
      <c r="O199" s="156"/>
      <c r="P199" s="157"/>
    </row>
    <row r="200" spans="3:16" ht="18" thickTop="1" thickBot="1" x14ac:dyDescent="0.25">
      <c r="C200" s="189"/>
      <c r="D200" s="156"/>
      <c r="E200" s="190"/>
      <c r="F200" s="147" t="e">
        <f>VLOOKUP(G200,'Input keuzevariabelen'!$E$11:$I$80,2,FALSE)</f>
        <v>#N/A</v>
      </c>
      <c r="G200" s="156"/>
      <c r="H200" s="209"/>
      <c r="I200" s="148" t="e">
        <f>VLOOKUP(G200,'Input keuzevariabelen'!$E$11:$I$80,3,FALSE)</f>
        <v>#N/A</v>
      </c>
      <c r="J200" s="211">
        <f>SUMIFS('Input keuzevariabelen'!$H$11:$H$80,'Input keuzevariabelen'!$E$11:$E$80,Data!G200,'Input keuzevariabelen'!$J$11:$J$80,Data!D200)</f>
        <v>0</v>
      </c>
      <c r="K200" s="148" t="e">
        <f>VLOOKUP(G200,'Input keuzevariabelen'!$E$11:$I$80,5,FALSE)</f>
        <v>#N/A</v>
      </c>
      <c r="L200" s="208">
        <f t="shared" si="50"/>
        <v>0</v>
      </c>
      <c r="M200" s="208">
        <f t="shared" si="51"/>
        <v>0</v>
      </c>
      <c r="N200" s="156"/>
      <c r="O200" s="156"/>
      <c r="P200" s="157"/>
    </row>
    <row r="201" spans="3:16" ht="18" thickTop="1" thickBot="1" x14ac:dyDescent="0.25">
      <c r="C201" s="189"/>
      <c r="D201" s="156"/>
      <c r="E201" s="190"/>
      <c r="F201" s="147" t="e">
        <f>VLOOKUP(G201,'Input keuzevariabelen'!$E$11:$I$80,2,FALSE)</f>
        <v>#N/A</v>
      </c>
      <c r="G201" s="156"/>
      <c r="H201" s="209"/>
      <c r="I201" s="148" t="e">
        <f>VLOOKUP(G201,'Input keuzevariabelen'!$E$11:$I$80,3,FALSE)</f>
        <v>#N/A</v>
      </c>
      <c r="J201" s="211">
        <f>SUMIFS('Input keuzevariabelen'!$H$11:$H$80,'Input keuzevariabelen'!$E$11:$E$80,Data!G201,'Input keuzevariabelen'!$J$11:$J$80,Data!D201)</f>
        <v>0</v>
      </c>
      <c r="K201" s="148" t="e">
        <f>VLOOKUP(G201,'Input keuzevariabelen'!$E$11:$I$80,5,FALSE)</f>
        <v>#N/A</v>
      </c>
      <c r="L201" s="208">
        <f t="shared" si="50"/>
        <v>0</v>
      </c>
      <c r="M201" s="208">
        <f t="shared" si="51"/>
        <v>0</v>
      </c>
      <c r="N201" s="156"/>
      <c r="O201" s="156"/>
      <c r="P201" s="157"/>
    </row>
    <row r="202" spans="3:16" ht="18" thickTop="1" thickBot="1" x14ac:dyDescent="0.25">
      <c r="C202" s="189"/>
      <c r="D202" s="156"/>
      <c r="E202" s="190"/>
      <c r="F202" s="147" t="e">
        <f>VLOOKUP(G202,'Input keuzevariabelen'!$E$11:$I$80,2,FALSE)</f>
        <v>#N/A</v>
      </c>
      <c r="G202" s="156"/>
      <c r="H202" s="209"/>
      <c r="I202" s="148" t="e">
        <f>VLOOKUP(G202,'Input keuzevariabelen'!$E$11:$I$80,3,FALSE)</f>
        <v>#N/A</v>
      </c>
      <c r="J202" s="211">
        <f>SUMIFS('Input keuzevariabelen'!$H$11:$H$80,'Input keuzevariabelen'!$E$11:$E$80,Data!G202,'Input keuzevariabelen'!$J$11:$J$80,Data!D202)</f>
        <v>0</v>
      </c>
      <c r="K202" s="148" t="e">
        <f>VLOOKUP(G202,'Input keuzevariabelen'!$E$11:$I$80,5,FALSE)</f>
        <v>#N/A</v>
      </c>
      <c r="L202" s="208">
        <f t="shared" si="50"/>
        <v>0</v>
      </c>
      <c r="M202" s="208">
        <f t="shared" si="51"/>
        <v>0</v>
      </c>
      <c r="N202" s="156"/>
      <c r="O202" s="156"/>
      <c r="P202" s="157"/>
    </row>
    <row r="203" spans="3:16" ht="18" thickTop="1" thickBot="1" x14ac:dyDescent="0.25">
      <c r="C203" s="189"/>
      <c r="D203" s="156"/>
      <c r="E203" s="190"/>
      <c r="F203" s="147" t="e">
        <f>VLOOKUP(G203,'Input keuzevariabelen'!$E$11:$I$80,2,FALSE)</f>
        <v>#N/A</v>
      </c>
      <c r="G203" s="156"/>
      <c r="H203" s="209"/>
      <c r="I203" s="148" t="e">
        <f>VLOOKUP(G203,'Input keuzevariabelen'!$E$11:$I$80,3,FALSE)</f>
        <v>#N/A</v>
      </c>
      <c r="J203" s="211">
        <f>SUMIFS('Input keuzevariabelen'!$H$11:$H$80,'Input keuzevariabelen'!$E$11:$E$80,Data!G203,'Input keuzevariabelen'!$J$11:$J$80,Data!D203)</f>
        <v>0</v>
      </c>
      <c r="K203" s="148" t="e">
        <f>VLOOKUP(G203,'Input keuzevariabelen'!$E$11:$I$80,5,FALSE)</f>
        <v>#N/A</v>
      </c>
      <c r="L203" s="208">
        <f t="shared" ref="L203:L220" si="52">H203*J203/1000</f>
        <v>0</v>
      </c>
      <c r="M203" s="208">
        <f t="shared" ref="M203:M220" si="53">H203*J203/1000000</f>
        <v>0</v>
      </c>
      <c r="N203" s="156"/>
      <c r="O203" s="156"/>
      <c r="P203" s="157"/>
    </row>
    <row r="204" spans="3:16" ht="18" thickTop="1" thickBot="1" x14ac:dyDescent="0.25">
      <c r="C204" s="189"/>
      <c r="D204" s="156"/>
      <c r="E204" s="190"/>
      <c r="F204" s="147" t="e">
        <f>VLOOKUP(G204,'Input keuzevariabelen'!$E$11:$I$80,2,FALSE)</f>
        <v>#N/A</v>
      </c>
      <c r="G204" s="156"/>
      <c r="H204" s="209"/>
      <c r="I204" s="148" t="e">
        <f>VLOOKUP(G204,'Input keuzevariabelen'!$E$11:$I$80,3,FALSE)</f>
        <v>#N/A</v>
      </c>
      <c r="J204" s="211">
        <f>SUMIFS('Input keuzevariabelen'!$H$11:$H$80,'Input keuzevariabelen'!$E$11:$E$80,Data!G204,'Input keuzevariabelen'!$J$11:$J$80,Data!D204)</f>
        <v>0</v>
      </c>
      <c r="K204" s="148" t="e">
        <f>VLOOKUP(G204,'Input keuzevariabelen'!$E$11:$I$80,5,FALSE)</f>
        <v>#N/A</v>
      </c>
      <c r="L204" s="208">
        <f t="shared" si="52"/>
        <v>0</v>
      </c>
      <c r="M204" s="208">
        <f t="shared" si="53"/>
        <v>0</v>
      </c>
      <c r="N204" s="156"/>
      <c r="O204" s="156"/>
      <c r="P204" s="157"/>
    </row>
    <row r="205" spans="3:16" ht="18" thickTop="1" thickBot="1" x14ac:dyDescent="0.25">
      <c r="C205" s="189"/>
      <c r="D205" s="156"/>
      <c r="E205" s="190"/>
      <c r="F205" s="147" t="e">
        <f>VLOOKUP(G205,'Input keuzevariabelen'!$E$11:$I$80,2,FALSE)</f>
        <v>#N/A</v>
      </c>
      <c r="G205" s="156"/>
      <c r="H205" s="209"/>
      <c r="I205" s="148" t="e">
        <f>VLOOKUP(G205,'Input keuzevariabelen'!$E$11:$I$80,3,FALSE)</f>
        <v>#N/A</v>
      </c>
      <c r="J205" s="211">
        <f>SUMIFS('Input keuzevariabelen'!$H$11:$H$80,'Input keuzevariabelen'!$E$11:$E$80,Data!G205,'Input keuzevariabelen'!$J$11:$J$80,Data!D205)</f>
        <v>0</v>
      </c>
      <c r="K205" s="148" t="e">
        <f>VLOOKUP(G205,'Input keuzevariabelen'!$E$11:$I$80,5,FALSE)</f>
        <v>#N/A</v>
      </c>
      <c r="L205" s="208">
        <f t="shared" si="52"/>
        <v>0</v>
      </c>
      <c r="M205" s="208">
        <f t="shared" si="53"/>
        <v>0</v>
      </c>
      <c r="N205" s="156"/>
      <c r="O205" s="156"/>
      <c r="P205" s="157"/>
    </row>
    <row r="206" spans="3:16" ht="18" thickTop="1" thickBot="1" x14ac:dyDescent="0.25">
      <c r="C206" s="189"/>
      <c r="D206" s="156"/>
      <c r="E206" s="190"/>
      <c r="F206" s="147" t="e">
        <f>VLOOKUP(G206,'Input keuzevariabelen'!$E$11:$I$80,2,FALSE)</f>
        <v>#N/A</v>
      </c>
      <c r="G206" s="156"/>
      <c r="H206" s="209"/>
      <c r="I206" s="148" t="e">
        <f>VLOOKUP(G206,'Input keuzevariabelen'!$E$11:$I$80,3,FALSE)</f>
        <v>#N/A</v>
      </c>
      <c r="J206" s="211">
        <f>SUMIFS('Input keuzevariabelen'!$H$11:$H$80,'Input keuzevariabelen'!$E$11:$E$80,Data!G206,'Input keuzevariabelen'!$J$11:$J$80,Data!D206)</f>
        <v>0</v>
      </c>
      <c r="K206" s="148" t="e">
        <f>VLOOKUP(G206,'Input keuzevariabelen'!$E$11:$I$80,5,FALSE)</f>
        <v>#N/A</v>
      </c>
      <c r="L206" s="208">
        <f t="shared" si="52"/>
        <v>0</v>
      </c>
      <c r="M206" s="208">
        <f t="shared" si="53"/>
        <v>0</v>
      </c>
      <c r="N206" s="156"/>
      <c r="O206" s="156"/>
      <c r="P206" s="157"/>
    </row>
    <row r="207" spans="3:16" ht="18" thickTop="1" thickBot="1" x14ac:dyDescent="0.25">
      <c r="C207" s="189"/>
      <c r="D207" s="156"/>
      <c r="E207" s="190"/>
      <c r="F207" s="147" t="e">
        <f>VLOOKUP(G207,'Input keuzevariabelen'!$E$11:$I$80,2,FALSE)</f>
        <v>#N/A</v>
      </c>
      <c r="G207" s="156"/>
      <c r="H207" s="209"/>
      <c r="I207" s="148" t="e">
        <f>VLOOKUP(G207,'Input keuzevariabelen'!$E$11:$I$80,3,FALSE)</f>
        <v>#N/A</v>
      </c>
      <c r="J207" s="211">
        <f>SUMIFS('Input keuzevariabelen'!$H$11:$H$80,'Input keuzevariabelen'!$E$11:$E$80,Data!G207,'Input keuzevariabelen'!$J$11:$J$80,Data!D207)</f>
        <v>0</v>
      </c>
      <c r="K207" s="148" t="e">
        <f>VLOOKUP(G207,'Input keuzevariabelen'!$E$11:$I$80,5,FALSE)</f>
        <v>#N/A</v>
      </c>
      <c r="L207" s="208">
        <f t="shared" si="52"/>
        <v>0</v>
      </c>
      <c r="M207" s="208">
        <f t="shared" si="53"/>
        <v>0</v>
      </c>
      <c r="N207" s="156"/>
      <c r="O207" s="156"/>
      <c r="P207" s="157"/>
    </row>
    <row r="208" spans="3:16" ht="18" thickTop="1" thickBot="1" x14ac:dyDescent="0.25">
      <c r="C208" s="189"/>
      <c r="D208" s="156"/>
      <c r="E208" s="190"/>
      <c r="F208" s="147" t="e">
        <f>VLOOKUP(G208,'Input keuzevariabelen'!$E$11:$I$80,2,FALSE)</f>
        <v>#N/A</v>
      </c>
      <c r="G208" s="156"/>
      <c r="H208" s="209"/>
      <c r="I208" s="148" t="e">
        <f>VLOOKUP(G208,'Input keuzevariabelen'!$E$11:$I$80,3,FALSE)</f>
        <v>#N/A</v>
      </c>
      <c r="J208" s="211">
        <f>SUMIFS('Input keuzevariabelen'!$H$11:$H$80,'Input keuzevariabelen'!$E$11:$E$80,Data!G208,'Input keuzevariabelen'!$J$11:$J$80,Data!D208)</f>
        <v>0</v>
      </c>
      <c r="K208" s="148" t="e">
        <f>VLOOKUP(G208,'Input keuzevariabelen'!$E$11:$I$80,5,FALSE)</f>
        <v>#N/A</v>
      </c>
      <c r="L208" s="208">
        <f t="shared" si="52"/>
        <v>0</v>
      </c>
      <c r="M208" s="208">
        <f t="shared" si="53"/>
        <v>0</v>
      </c>
      <c r="N208" s="156"/>
      <c r="O208" s="156"/>
      <c r="P208" s="157"/>
    </row>
    <row r="209" spans="3:16" ht="18" thickTop="1" thickBot="1" x14ac:dyDescent="0.25">
      <c r="C209" s="189"/>
      <c r="D209" s="156"/>
      <c r="E209" s="190"/>
      <c r="F209" s="147" t="e">
        <f>VLOOKUP(G209,'Input keuzevariabelen'!$E$11:$I$80,2,FALSE)</f>
        <v>#N/A</v>
      </c>
      <c r="G209" s="156"/>
      <c r="H209" s="209"/>
      <c r="I209" s="148" t="e">
        <f>VLOOKUP(G209,'Input keuzevariabelen'!$E$11:$I$80,3,FALSE)</f>
        <v>#N/A</v>
      </c>
      <c r="J209" s="211">
        <f>SUMIFS('Input keuzevariabelen'!$H$11:$H$80,'Input keuzevariabelen'!$E$11:$E$80,Data!G209,'Input keuzevariabelen'!$J$11:$J$80,Data!D209)</f>
        <v>0</v>
      </c>
      <c r="K209" s="148" t="e">
        <f>VLOOKUP(G209,'Input keuzevariabelen'!$E$11:$I$80,5,FALSE)</f>
        <v>#N/A</v>
      </c>
      <c r="L209" s="208">
        <f t="shared" si="52"/>
        <v>0</v>
      </c>
      <c r="M209" s="208">
        <f t="shared" si="53"/>
        <v>0</v>
      </c>
      <c r="N209" s="156"/>
      <c r="O209" s="156"/>
      <c r="P209" s="157"/>
    </row>
    <row r="210" spans="3:16" ht="18" thickTop="1" thickBot="1" x14ac:dyDescent="0.25">
      <c r="C210" s="189"/>
      <c r="D210" s="156"/>
      <c r="E210" s="190"/>
      <c r="F210" s="147" t="e">
        <f>VLOOKUP(G210,'Input keuzevariabelen'!$E$11:$I$80,2,FALSE)</f>
        <v>#N/A</v>
      </c>
      <c r="G210" s="156"/>
      <c r="H210" s="209"/>
      <c r="I210" s="148" t="e">
        <f>VLOOKUP(G210,'Input keuzevariabelen'!$E$11:$I$80,3,FALSE)</f>
        <v>#N/A</v>
      </c>
      <c r="J210" s="211">
        <f>SUMIFS('Input keuzevariabelen'!$H$11:$H$80,'Input keuzevariabelen'!$E$11:$E$80,Data!G210,'Input keuzevariabelen'!$J$11:$J$80,Data!D210)</f>
        <v>0</v>
      </c>
      <c r="K210" s="148" t="e">
        <f>VLOOKUP(G210,'Input keuzevariabelen'!$E$11:$I$80,5,FALSE)</f>
        <v>#N/A</v>
      </c>
      <c r="L210" s="208">
        <f t="shared" si="52"/>
        <v>0</v>
      </c>
      <c r="M210" s="208">
        <f t="shared" si="53"/>
        <v>0</v>
      </c>
      <c r="N210" s="156"/>
      <c r="O210" s="156"/>
      <c r="P210" s="157"/>
    </row>
    <row r="211" spans="3:16" ht="18" thickTop="1" thickBot="1" x14ac:dyDescent="0.25">
      <c r="C211" s="189"/>
      <c r="D211" s="156"/>
      <c r="E211" s="190"/>
      <c r="F211" s="147" t="e">
        <f>VLOOKUP(G211,'Input keuzevariabelen'!$E$11:$I$80,2,FALSE)</f>
        <v>#N/A</v>
      </c>
      <c r="G211" s="156"/>
      <c r="H211" s="209"/>
      <c r="I211" s="148" t="e">
        <f>VLOOKUP(G211,'Input keuzevariabelen'!$E$11:$I$80,3,FALSE)</f>
        <v>#N/A</v>
      </c>
      <c r="J211" s="211">
        <f>SUMIFS('Input keuzevariabelen'!$H$11:$H$80,'Input keuzevariabelen'!$E$11:$E$80,Data!G211,'Input keuzevariabelen'!$J$11:$J$80,Data!D211)</f>
        <v>0</v>
      </c>
      <c r="K211" s="148" t="e">
        <f>VLOOKUP(G211,'Input keuzevariabelen'!$E$11:$I$80,5,FALSE)</f>
        <v>#N/A</v>
      </c>
      <c r="L211" s="208">
        <f t="shared" si="52"/>
        <v>0</v>
      </c>
      <c r="M211" s="208">
        <f t="shared" si="53"/>
        <v>0</v>
      </c>
      <c r="N211" s="156"/>
      <c r="O211" s="156"/>
      <c r="P211" s="157"/>
    </row>
    <row r="212" spans="3:16" ht="18" thickTop="1" thickBot="1" x14ac:dyDescent="0.25">
      <c r="C212" s="189"/>
      <c r="D212" s="156"/>
      <c r="E212" s="190"/>
      <c r="F212" s="147" t="e">
        <f>VLOOKUP(G212,'Input keuzevariabelen'!$E$11:$I$80,2,FALSE)</f>
        <v>#N/A</v>
      </c>
      <c r="G212" s="156"/>
      <c r="H212" s="209"/>
      <c r="I212" s="148" t="e">
        <f>VLOOKUP(G212,'Input keuzevariabelen'!$E$11:$I$80,3,FALSE)</f>
        <v>#N/A</v>
      </c>
      <c r="J212" s="211">
        <f>SUMIFS('Input keuzevariabelen'!$H$11:$H$80,'Input keuzevariabelen'!$E$11:$E$80,Data!G212,'Input keuzevariabelen'!$J$11:$J$80,Data!D212)</f>
        <v>0</v>
      </c>
      <c r="K212" s="148" t="e">
        <f>VLOOKUP(G212,'Input keuzevariabelen'!$E$11:$I$80,5,FALSE)</f>
        <v>#N/A</v>
      </c>
      <c r="L212" s="208">
        <f t="shared" si="52"/>
        <v>0</v>
      </c>
      <c r="M212" s="208">
        <f t="shared" si="53"/>
        <v>0</v>
      </c>
      <c r="N212" s="156"/>
      <c r="O212" s="156"/>
      <c r="P212" s="157"/>
    </row>
    <row r="213" spans="3:16" ht="18" thickTop="1" thickBot="1" x14ac:dyDescent="0.25">
      <c r="C213" s="189"/>
      <c r="D213" s="156"/>
      <c r="E213" s="190"/>
      <c r="F213" s="147" t="e">
        <f>VLOOKUP(G213,'Input keuzevariabelen'!$E$11:$I$80,2,FALSE)</f>
        <v>#N/A</v>
      </c>
      <c r="G213" s="156"/>
      <c r="H213" s="209"/>
      <c r="I213" s="148" t="e">
        <f>VLOOKUP(G213,'Input keuzevariabelen'!$E$11:$I$80,3,FALSE)</f>
        <v>#N/A</v>
      </c>
      <c r="J213" s="211">
        <f>SUMIFS('Input keuzevariabelen'!$H$11:$H$80,'Input keuzevariabelen'!$E$11:$E$80,Data!G213,'Input keuzevariabelen'!$J$11:$J$80,Data!D213)</f>
        <v>0</v>
      </c>
      <c r="K213" s="148" t="e">
        <f>VLOOKUP(G213,'Input keuzevariabelen'!$E$11:$I$80,5,FALSE)</f>
        <v>#N/A</v>
      </c>
      <c r="L213" s="208">
        <f t="shared" si="52"/>
        <v>0</v>
      </c>
      <c r="M213" s="208">
        <f t="shared" si="53"/>
        <v>0</v>
      </c>
      <c r="N213" s="156"/>
      <c r="O213" s="156"/>
      <c r="P213" s="157"/>
    </row>
    <row r="214" spans="3:16" ht="18" thickTop="1" thickBot="1" x14ac:dyDescent="0.25">
      <c r="C214" s="189"/>
      <c r="D214" s="156"/>
      <c r="E214" s="190"/>
      <c r="F214" s="147" t="e">
        <f>VLOOKUP(G214,'Input keuzevariabelen'!$E$11:$I$80,2,FALSE)</f>
        <v>#N/A</v>
      </c>
      <c r="G214" s="156"/>
      <c r="H214" s="209"/>
      <c r="I214" s="148" t="e">
        <f>VLOOKUP(G214,'Input keuzevariabelen'!$E$11:$I$80,3,FALSE)</f>
        <v>#N/A</v>
      </c>
      <c r="J214" s="211">
        <f>SUMIFS('Input keuzevariabelen'!$H$11:$H$80,'Input keuzevariabelen'!$E$11:$E$80,Data!G214,'Input keuzevariabelen'!$J$11:$J$80,Data!D214)</f>
        <v>0</v>
      </c>
      <c r="K214" s="148" t="e">
        <f>VLOOKUP(G214,'Input keuzevariabelen'!$E$11:$I$80,5,FALSE)</f>
        <v>#N/A</v>
      </c>
      <c r="L214" s="208">
        <f t="shared" si="52"/>
        <v>0</v>
      </c>
      <c r="M214" s="208">
        <f t="shared" si="53"/>
        <v>0</v>
      </c>
      <c r="N214" s="156"/>
      <c r="O214" s="156"/>
      <c r="P214" s="157"/>
    </row>
    <row r="215" spans="3:16" ht="18" thickTop="1" thickBot="1" x14ac:dyDescent="0.25">
      <c r="C215" s="189"/>
      <c r="D215" s="156"/>
      <c r="E215" s="190"/>
      <c r="F215" s="147" t="e">
        <f>VLOOKUP(G215,'Input keuzevariabelen'!$E$11:$I$80,2,FALSE)</f>
        <v>#N/A</v>
      </c>
      <c r="G215" s="156"/>
      <c r="H215" s="209"/>
      <c r="I215" s="148" t="e">
        <f>VLOOKUP(G215,'Input keuzevariabelen'!$E$11:$I$80,3,FALSE)</f>
        <v>#N/A</v>
      </c>
      <c r="J215" s="211">
        <f>SUMIFS('Input keuzevariabelen'!$H$11:$H$80,'Input keuzevariabelen'!$E$11:$E$80,Data!G215,'Input keuzevariabelen'!$J$11:$J$80,Data!D215)</f>
        <v>0</v>
      </c>
      <c r="K215" s="148" t="e">
        <f>VLOOKUP(G215,'Input keuzevariabelen'!$E$11:$I$80,5,FALSE)</f>
        <v>#N/A</v>
      </c>
      <c r="L215" s="208">
        <f t="shared" si="52"/>
        <v>0</v>
      </c>
      <c r="M215" s="208">
        <f t="shared" si="53"/>
        <v>0</v>
      </c>
      <c r="N215" s="156"/>
      <c r="O215" s="156"/>
      <c r="P215" s="157"/>
    </row>
    <row r="216" spans="3:16" ht="18" thickTop="1" thickBot="1" x14ac:dyDescent="0.25">
      <c r="C216" s="189"/>
      <c r="D216" s="156"/>
      <c r="E216" s="190"/>
      <c r="F216" s="147" t="e">
        <f>VLOOKUP(G216,'Input keuzevariabelen'!$E$11:$I$80,2,FALSE)</f>
        <v>#N/A</v>
      </c>
      <c r="G216" s="156"/>
      <c r="H216" s="209"/>
      <c r="I216" s="148" t="e">
        <f>VLOOKUP(G216,'Input keuzevariabelen'!$E$11:$I$80,3,FALSE)</f>
        <v>#N/A</v>
      </c>
      <c r="J216" s="211">
        <f>SUMIFS('Input keuzevariabelen'!$H$11:$H$80,'Input keuzevariabelen'!$E$11:$E$80,Data!G216,'Input keuzevariabelen'!$J$11:$J$80,Data!D216)</f>
        <v>0</v>
      </c>
      <c r="K216" s="148" t="e">
        <f>VLOOKUP(G216,'Input keuzevariabelen'!$E$11:$I$80,5,FALSE)</f>
        <v>#N/A</v>
      </c>
      <c r="L216" s="208">
        <f t="shared" si="52"/>
        <v>0</v>
      </c>
      <c r="M216" s="208">
        <f t="shared" si="53"/>
        <v>0</v>
      </c>
      <c r="N216" s="156"/>
      <c r="O216" s="156"/>
      <c r="P216" s="157"/>
    </row>
    <row r="217" spans="3:16" ht="18" thickTop="1" thickBot="1" x14ac:dyDescent="0.25">
      <c r="C217" s="189"/>
      <c r="D217" s="156"/>
      <c r="E217" s="190"/>
      <c r="F217" s="147" t="e">
        <f>VLOOKUP(G217,'Input keuzevariabelen'!$E$11:$I$80,2,FALSE)</f>
        <v>#N/A</v>
      </c>
      <c r="G217" s="156"/>
      <c r="H217" s="209"/>
      <c r="I217" s="148" t="e">
        <f>VLOOKUP(G217,'Input keuzevariabelen'!$E$11:$I$80,3,FALSE)</f>
        <v>#N/A</v>
      </c>
      <c r="J217" s="211">
        <f>SUMIFS('Input keuzevariabelen'!$H$11:$H$80,'Input keuzevariabelen'!$E$11:$E$80,Data!G217,'Input keuzevariabelen'!$J$11:$J$80,Data!D217)</f>
        <v>0</v>
      </c>
      <c r="K217" s="148" t="e">
        <f>VLOOKUP(G217,'Input keuzevariabelen'!$E$11:$I$80,5,FALSE)</f>
        <v>#N/A</v>
      </c>
      <c r="L217" s="208">
        <f t="shared" si="52"/>
        <v>0</v>
      </c>
      <c r="M217" s="208">
        <f t="shared" si="53"/>
        <v>0</v>
      </c>
      <c r="N217" s="156"/>
      <c r="O217" s="156"/>
      <c r="P217" s="157"/>
    </row>
    <row r="218" spans="3:16" ht="18" thickTop="1" thickBot="1" x14ac:dyDescent="0.25">
      <c r="C218" s="189"/>
      <c r="D218" s="156"/>
      <c r="E218" s="190"/>
      <c r="F218" s="147" t="e">
        <f>VLOOKUP(G218,'Input keuzevariabelen'!$E$11:$I$80,2,FALSE)</f>
        <v>#N/A</v>
      </c>
      <c r="G218" s="156"/>
      <c r="H218" s="209"/>
      <c r="I218" s="148" t="e">
        <f>VLOOKUP(G218,'Input keuzevariabelen'!$E$11:$I$80,3,FALSE)</f>
        <v>#N/A</v>
      </c>
      <c r="J218" s="211">
        <f>SUMIFS('Input keuzevariabelen'!$H$11:$H$80,'Input keuzevariabelen'!$E$11:$E$80,Data!G218,'Input keuzevariabelen'!$J$11:$J$80,Data!D218)</f>
        <v>0</v>
      </c>
      <c r="K218" s="148" t="e">
        <f>VLOOKUP(G218,'Input keuzevariabelen'!$E$11:$I$80,5,FALSE)</f>
        <v>#N/A</v>
      </c>
      <c r="L218" s="208">
        <f t="shared" si="52"/>
        <v>0</v>
      </c>
      <c r="M218" s="208">
        <f t="shared" si="53"/>
        <v>0</v>
      </c>
      <c r="N218" s="156"/>
      <c r="O218" s="156"/>
      <c r="P218" s="157"/>
    </row>
    <row r="219" spans="3:16" ht="18" thickTop="1" thickBot="1" x14ac:dyDescent="0.25">
      <c r="C219" s="189"/>
      <c r="D219" s="156"/>
      <c r="E219" s="190"/>
      <c r="F219" s="147" t="e">
        <f>VLOOKUP(G219,'Input keuzevariabelen'!$E$11:$I$80,2,FALSE)</f>
        <v>#N/A</v>
      </c>
      <c r="G219" s="156"/>
      <c r="H219" s="209"/>
      <c r="I219" s="148" t="e">
        <f>VLOOKUP(G219,'Input keuzevariabelen'!$E$11:$I$80,3,FALSE)</f>
        <v>#N/A</v>
      </c>
      <c r="J219" s="211">
        <f>SUMIFS('Input keuzevariabelen'!$H$11:$H$80,'Input keuzevariabelen'!$E$11:$E$80,Data!G219,'Input keuzevariabelen'!$J$11:$J$80,Data!D219)</f>
        <v>0</v>
      </c>
      <c r="K219" s="148" t="e">
        <f>VLOOKUP(G219,'Input keuzevariabelen'!$E$11:$I$80,5,FALSE)</f>
        <v>#N/A</v>
      </c>
      <c r="L219" s="208">
        <f t="shared" si="52"/>
        <v>0</v>
      </c>
      <c r="M219" s="208">
        <f t="shared" si="53"/>
        <v>0</v>
      </c>
      <c r="N219" s="156"/>
      <c r="O219" s="156"/>
      <c r="P219" s="157"/>
    </row>
    <row r="220" spans="3:16" ht="18" thickTop="1" thickBot="1" x14ac:dyDescent="0.25">
      <c r="C220" s="189"/>
      <c r="D220" s="156"/>
      <c r="E220" s="190"/>
      <c r="F220" s="147" t="e">
        <f>VLOOKUP(G220,'Input keuzevariabelen'!$E$11:$I$80,2,FALSE)</f>
        <v>#N/A</v>
      </c>
      <c r="G220" s="156"/>
      <c r="H220" s="209"/>
      <c r="I220" s="148" t="e">
        <f>VLOOKUP(G220,'Input keuzevariabelen'!$E$11:$I$80,3,FALSE)</f>
        <v>#N/A</v>
      </c>
      <c r="J220" s="211">
        <f>SUMIFS('Input keuzevariabelen'!$H$11:$H$80,'Input keuzevariabelen'!$E$11:$E$80,Data!G220,'Input keuzevariabelen'!$J$11:$J$80,Data!D220)</f>
        <v>0</v>
      </c>
      <c r="K220" s="148" t="e">
        <f>VLOOKUP(G220,'Input keuzevariabelen'!$E$11:$I$80,5,FALSE)</f>
        <v>#N/A</v>
      </c>
      <c r="L220" s="208">
        <f t="shared" si="52"/>
        <v>0</v>
      </c>
      <c r="M220" s="208">
        <f t="shared" si="53"/>
        <v>0</v>
      </c>
      <c r="N220" s="156"/>
      <c r="O220" s="156"/>
      <c r="P220" s="157"/>
    </row>
    <row r="221" spans="3:16" ht="18" thickTop="1" thickBot="1" x14ac:dyDescent="0.25">
      <c r="C221" s="189"/>
      <c r="D221" s="156"/>
      <c r="E221" s="190"/>
      <c r="F221" s="147" t="e">
        <f>VLOOKUP(G221,'Input keuzevariabelen'!$E$11:$I$80,2,FALSE)</f>
        <v>#N/A</v>
      </c>
      <c r="G221" s="156"/>
      <c r="H221" s="209"/>
      <c r="I221" s="148" t="e">
        <f>VLOOKUP(G221,'Input keuzevariabelen'!$E$11:$I$80,3,FALSE)</f>
        <v>#N/A</v>
      </c>
      <c r="J221" s="211">
        <f>SUMIFS('Input keuzevariabelen'!$H$11:$H$80,'Input keuzevariabelen'!$E$11:$E$80,Data!G221,'Input keuzevariabelen'!$J$11:$J$80,Data!D221)</f>
        <v>0</v>
      </c>
      <c r="K221" s="148" t="e">
        <f>VLOOKUP(G221,'Input keuzevariabelen'!$E$11:$I$80,5,FALSE)</f>
        <v>#N/A</v>
      </c>
      <c r="L221" s="208">
        <f t="shared" ref="L221:L284" si="54">H221*J221/1000</f>
        <v>0</v>
      </c>
      <c r="M221" s="208">
        <f t="shared" ref="M221:M284" si="55">H221*J221/1000000</f>
        <v>0</v>
      </c>
      <c r="N221" s="156"/>
      <c r="O221" s="156"/>
      <c r="P221" s="157"/>
    </row>
    <row r="222" spans="3:16" ht="18" thickTop="1" thickBot="1" x14ac:dyDescent="0.25">
      <c r="C222" s="189"/>
      <c r="D222" s="156"/>
      <c r="E222" s="190"/>
      <c r="F222" s="147" t="e">
        <f>VLOOKUP(G222,'Input keuzevariabelen'!$E$11:$I$80,2,FALSE)</f>
        <v>#N/A</v>
      </c>
      <c r="G222" s="156"/>
      <c r="H222" s="209"/>
      <c r="I222" s="148" t="e">
        <f>VLOOKUP(G222,'Input keuzevariabelen'!$E$11:$I$80,3,FALSE)</f>
        <v>#N/A</v>
      </c>
      <c r="J222" s="211">
        <f>SUMIFS('Input keuzevariabelen'!$H$11:$H$80,'Input keuzevariabelen'!$E$11:$E$80,Data!G222,'Input keuzevariabelen'!$J$11:$J$80,Data!D222)</f>
        <v>0</v>
      </c>
      <c r="K222" s="148" t="e">
        <f>VLOOKUP(G222,'Input keuzevariabelen'!$E$11:$I$80,5,FALSE)</f>
        <v>#N/A</v>
      </c>
      <c r="L222" s="208">
        <f t="shared" si="54"/>
        <v>0</v>
      </c>
      <c r="M222" s="208">
        <f t="shared" si="55"/>
        <v>0</v>
      </c>
      <c r="N222" s="156"/>
      <c r="O222" s="156"/>
      <c r="P222" s="157"/>
    </row>
    <row r="223" spans="3:16" ht="18" thickTop="1" thickBot="1" x14ac:dyDescent="0.25">
      <c r="C223" s="189"/>
      <c r="D223" s="156"/>
      <c r="E223" s="190"/>
      <c r="F223" s="147" t="e">
        <f>VLOOKUP(G223,'Input keuzevariabelen'!$E$11:$I$80,2,FALSE)</f>
        <v>#N/A</v>
      </c>
      <c r="G223" s="156"/>
      <c r="H223" s="209"/>
      <c r="I223" s="148" t="e">
        <f>VLOOKUP(G223,'Input keuzevariabelen'!$E$11:$I$80,3,FALSE)</f>
        <v>#N/A</v>
      </c>
      <c r="J223" s="211">
        <f>SUMIFS('Input keuzevariabelen'!$H$11:$H$80,'Input keuzevariabelen'!$E$11:$E$80,Data!G223,'Input keuzevariabelen'!$J$11:$J$80,Data!D223)</f>
        <v>0</v>
      </c>
      <c r="K223" s="148" t="e">
        <f>VLOOKUP(G223,'Input keuzevariabelen'!$E$11:$I$80,5,FALSE)</f>
        <v>#N/A</v>
      </c>
      <c r="L223" s="208">
        <f t="shared" si="54"/>
        <v>0</v>
      </c>
      <c r="M223" s="208">
        <f t="shared" si="55"/>
        <v>0</v>
      </c>
      <c r="N223" s="156"/>
      <c r="O223" s="156"/>
      <c r="P223" s="157"/>
    </row>
    <row r="224" spans="3:16" ht="18" thickTop="1" thickBot="1" x14ac:dyDescent="0.25">
      <c r="C224" s="189"/>
      <c r="D224" s="156"/>
      <c r="E224" s="190"/>
      <c r="F224" s="147" t="e">
        <f>VLOOKUP(G224,'Input keuzevariabelen'!$E$11:$I$80,2,FALSE)</f>
        <v>#N/A</v>
      </c>
      <c r="G224" s="156"/>
      <c r="H224" s="209"/>
      <c r="I224" s="148" t="e">
        <f>VLOOKUP(G224,'Input keuzevariabelen'!$E$11:$I$80,3,FALSE)</f>
        <v>#N/A</v>
      </c>
      <c r="J224" s="211">
        <f>SUMIFS('Input keuzevariabelen'!$H$11:$H$80,'Input keuzevariabelen'!$E$11:$E$80,Data!G224,'Input keuzevariabelen'!$J$11:$J$80,Data!D224)</f>
        <v>0</v>
      </c>
      <c r="K224" s="148" t="e">
        <f>VLOOKUP(G224,'Input keuzevariabelen'!$E$11:$I$80,5,FALSE)</f>
        <v>#N/A</v>
      </c>
      <c r="L224" s="208">
        <f t="shared" si="54"/>
        <v>0</v>
      </c>
      <c r="M224" s="208">
        <f t="shared" si="55"/>
        <v>0</v>
      </c>
      <c r="N224" s="156"/>
      <c r="O224" s="156"/>
      <c r="P224" s="157"/>
    </row>
    <row r="225" spans="3:16" ht="18" thickTop="1" thickBot="1" x14ac:dyDescent="0.25">
      <c r="C225" s="189"/>
      <c r="D225" s="156"/>
      <c r="E225" s="190"/>
      <c r="F225" s="147" t="e">
        <f>VLOOKUP(G225,'Input keuzevariabelen'!$E$11:$I$80,2,FALSE)</f>
        <v>#N/A</v>
      </c>
      <c r="G225" s="156"/>
      <c r="H225" s="209"/>
      <c r="I225" s="148" t="e">
        <f>VLOOKUP(G225,'Input keuzevariabelen'!$E$11:$I$80,3,FALSE)</f>
        <v>#N/A</v>
      </c>
      <c r="J225" s="211">
        <f>SUMIFS('Input keuzevariabelen'!$H$11:$H$80,'Input keuzevariabelen'!$E$11:$E$80,Data!G225,'Input keuzevariabelen'!$J$11:$J$80,Data!D225)</f>
        <v>0</v>
      </c>
      <c r="K225" s="148" t="e">
        <f>VLOOKUP(G225,'Input keuzevariabelen'!$E$11:$I$80,5,FALSE)</f>
        <v>#N/A</v>
      </c>
      <c r="L225" s="208">
        <f t="shared" si="54"/>
        <v>0</v>
      </c>
      <c r="M225" s="208">
        <f t="shared" si="55"/>
        <v>0</v>
      </c>
      <c r="N225" s="156"/>
      <c r="O225" s="156"/>
      <c r="P225" s="157"/>
    </row>
    <row r="226" spans="3:16" ht="18" thickTop="1" thickBot="1" x14ac:dyDescent="0.25">
      <c r="C226" s="189"/>
      <c r="D226" s="156"/>
      <c r="E226" s="190"/>
      <c r="F226" s="147" t="e">
        <f>VLOOKUP(G226,'Input keuzevariabelen'!$E$11:$I$80,2,FALSE)</f>
        <v>#N/A</v>
      </c>
      <c r="G226" s="156"/>
      <c r="H226" s="209"/>
      <c r="I226" s="148" t="e">
        <f>VLOOKUP(G226,'Input keuzevariabelen'!$E$11:$I$80,3,FALSE)</f>
        <v>#N/A</v>
      </c>
      <c r="J226" s="211">
        <f>SUMIFS('Input keuzevariabelen'!$H$11:$H$80,'Input keuzevariabelen'!$E$11:$E$80,Data!G226,'Input keuzevariabelen'!$J$11:$J$80,Data!D226)</f>
        <v>0</v>
      </c>
      <c r="K226" s="148" t="e">
        <f>VLOOKUP(G226,'Input keuzevariabelen'!$E$11:$I$80,5,FALSE)</f>
        <v>#N/A</v>
      </c>
      <c r="L226" s="208">
        <f t="shared" si="54"/>
        <v>0</v>
      </c>
      <c r="M226" s="208">
        <f t="shared" si="55"/>
        <v>0</v>
      </c>
      <c r="N226" s="156"/>
      <c r="O226" s="156"/>
      <c r="P226" s="157"/>
    </row>
    <row r="227" spans="3:16" ht="18" thickTop="1" thickBot="1" x14ac:dyDescent="0.25">
      <c r="C227" s="189"/>
      <c r="D227" s="156"/>
      <c r="E227" s="190"/>
      <c r="F227" s="147" t="e">
        <f>VLOOKUP(G227,'Input keuzevariabelen'!$E$11:$I$80,2,FALSE)</f>
        <v>#N/A</v>
      </c>
      <c r="G227" s="156"/>
      <c r="H227" s="209"/>
      <c r="I227" s="148" t="e">
        <f>VLOOKUP(G227,'Input keuzevariabelen'!$E$11:$I$80,3,FALSE)</f>
        <v>#N/A</v>
      </c>
      <c r="J227" s="211">
        <f>SUMIFS('Input keuzevariabelen'!$H$11:$H$80,'Input keuzevariabelen'!$E$11:$E$80,Data!G227,'Input keuzevariabelen'!$J$11:$J$80,Data!D227)</f>
        <v>0</v>
      </c>
      <c r="K227" s="148" t="e">
        <f>VLOOKUP(G227,'Input keuzevariabelen'!$E$11:$I$80,5,FALSE)</f>
        <v>#N/A</v>
      </c>
      <c r="L227" s="208">
        <f t="shared" si="54"/>
        <v>0</v>
      </c>
      <c r="M227" s="208">
        <f t="shared" si="55"/>
        <v>0</v>
      </c>
      <c r="N227" s="156"/>
      <c r="O227" s="156"/>
      <c r="P227" s="157"/>
    </row>
    <row r="228" spans="3:16" ht="18" thickTop="1" thickBot="1" x14ac:dyDescent="0.25">
      <c r="C228" s="189"/>
      <c r="D228" s="156"/>
      <c r="E228" s="190"/>
      <c r="F228" s="147" t="e">
        <f>VLOOKUP(G228,'Input keuzevariabelen'!$E$11:$I$80,2,FALSE)</f>
        <v>#N/A</v>
      </c>
      <c r="G228" s="156"/>
      <c r="H228" s="209"/>
      <c r="I228" s="148" t="e">
        <f>VLOOKUP(G228,'Input keuzevariabelen'!$E$11:$I$80,3,FALSE)</f>
        <v>#N/A</v>
      </c>
      <c r="J228" s="211">
        <f>SUMIFS('Input keuzevariabelen'!$H$11:$H$80,'Input keuzevariabelen'!$E$11:$E$80,Data!G228,'Input keuzevariabelen'!$J$11:$J$80,Data!D228)</f>
        <v>0</v>
      </c>
      <c r="K228" s="148" t="e">
        <f>VLOOKUP(G228,'Input keuzevariabelen'!$E$11:$I$80,5,FALSE)</f>
        <v>#N/A</v>
      </c>
      <c r="L228" s="208">
        <f t="shared" si="54"/>
        <v>0</v>
      </c>
      <c r="M228" s="208">
        <f t="shared" si="55"/>
        <v>0</v>
      </c>
      <c r="N228" s="156"/>
      <c r="O228" s="156"/>
      <c r="P228" s="157"/>
    </row>
    <row r="229" spans="3:16" ht="18" thickTop="1" thickBot="1" x14ac:dyDescent="0.25">
      <c r="C229" s="189"/>
      <c r="D229" s="156"/>
      <c r="E229" s="190"/>
      <c r="F229" s="147" t="e">
        <f>VLOOKUP(G229,'Input keuzevariabelen'!$E$11:$I$80,2,FALSE)</f>
        <v>#N/A</v>
      </c>
      <c r="G229" s="156"/>
      <c r="H229" s="209"/>
      <c r="I229" s="148" t="e">
        <f>VLOOKUP(G229,'Input keuzevariabelen'!$E$11:$I$80,3,FALSE)</f>
        <v>#N/A</v>
      </c>
      <c r="J229" s="211">
        <f>SUMIFS('Input keuzevariabelen'!$H$11:$H$80,'Input keuzevariabelen'!$E$11:$E$80,Data!G229,'Input keuzevariabelen'!$J$11:$J$80,Data!D229)</f>
        <v>0</v>
      </c>
      <c r="K229" s="148" t="e">
        <f>VLOOKUP(G229,'Input keuzevariabelen'!$E$11:$I$80,5,FALSE)</f>
        <v>#N/A</v>
      </c>
      <c r="L229" s="208">
        <f t="shared" si="54"/>
        <v>0</v>
      </c>
      <c r="M229" s="208">
        <f t="shared" si="55"/>
        <v>0</v>
      </c>
      <c r="N229" s="156"/>
      <c r="O229" s="156"/>
      <c r="P229" s="157"/>
    </row>
    <row r="230" spans="3:16" ht="18" thickTop="1" thickBot="1" x14ac:dyDescent="0.25">
      <c r="C230" s="189"/>
      <c r="D230" s="156"/>
      <c r="E230" s="190"/>
      <c r="F230" s="147" t="e">
        <f>VLOOKUP(G230,'Input keuzevariabelen'!$E$11:$I$80,2,FALSE)</f>
        <v>#N/A</v>
      </c>
      <c r="G230" s="156"/>
      <c r="H230" s="209"/>
      <c r="I230" s="148" t="e">
        <f>VLOOKUP(G230,'Input keuzevariabelen'!$E$11:$I$80,3,FALSE)</f>
        <v>#N/A</v>
      </c>
      <c r="J230" s="211">
        <f>SUMIFS('Input keuzevariabelen'!$H$11:$H$80,'Input keuzevariabelen'!$E$11:$E$80,Data!G230,'Input keuzevariabelen'!$J$11:$J$80,Data!D230)</f>
        <v>0</v>
      </c>
      <c r="K230" s="148" t="e">
        <f>VLOOKUP(G230,'Input keuzevariabelen'!$E$11:$I$80,5,FALSE)</f>
        <v>#N/A</v>
      </c>
      <c r="L230" s="208">
        <f t="shared" si="54"/>
        <v>0</v>
      </c>
      <c r="M230" s="208">
        <f t="shared" si="55"/>
        <v>0</v>
      </c>
      <c r="N230" s="156"/>
      <c r="O230" s="156"/>
      <c r="P230" s="157"/>
    </row>
    <row r="231" spans="3:16" ht="18" thickTop="1" thickBot="1" x14ac:dyDescent="0.25">
      <c r="C231" s="189"/>
      <c r="D231" s="156"/>
      <c r="E231" s="190"/>
      <c r="F231" s="147" t="e">
        <f>VLOOKUP(G231,'Input keuzevariabelen'!$E$11:$I$80,2,FALSE)</f>
        <v>#N/A</v>
      </c>
      <c r="G231" s="156"/>
      <c r="H231" s="209"/>
      <c r="I231" s="148" t="e">
        <f>VLOOKUP(G231,'Input keuzevariabelen'!$E$11:$I$80,3,FALSE)</f>
        <v>#N/A</v>
      </c>
      <c r="J231" s="211">
        <f>SUMIFS('Input keuzevariabelen'!$H$11:$H$80,'Input keuzevariabelen'!$E$11:$E$80,Data!G231,'Input keuzevariabelen'!$J$11:$J$80,Data!D231)</f>
        <v>0</v>
      </c>
      <c r="K231" s="148" t="e">
        <f>VLOOKUP(G231,'Input keuzevariabelen'!$E$11:$I$80,5,FALSE)</f>
        <v>#N/A</v>
      </c>
      <c r="L231" s="208">
        <f t="shared" si="54"/>
        <v>0</v>
      </c>
      <c r="M231" s="208">
        <f t="shared" si="55"/>
        <v>0</v>
      </c>
      <c r="N231" s="156"/>
      <c r="O231" s="156"/>
      <c r="P231" s="157"/>
    </row>
    <row r="232" spans="3:16" ht="18" thickTop="1" thickBot="1" x14ac:dyDescent="0.25">
      <c r="C232" s="189"/>
      <c r="D232" s="156"/>
      <c r="E232" s="190"/>
      <c r="F232" s="147" t="e">
        <f>VLOOKUP(G232,'Input keuzevariabelen'!$E$11:$I$80,2,FALSE)</f>
        <v>#N/A</v>
      </c>
      <c r="G232" s="156"/>
      <c r="H232" s="209"/>
      <c r="I232" s="148" t="e">
        <f>VLOOKUP(G232,'Input keuzevariabelen'!$E$11:$I$80,3,FALSE)</f>
        <v>#N/A</v>
      </c>
      <c r="J232" s="211">
        <f>SUMIFS('Input keuzevariabelen'!$H$11:$H$80,'Input keuzevariabelen'!$E$11:$E$80,Data!G232,'Input keuzevariabelen'!$J$11:$J$80,Data!D232)</f>
        <v>0</v>
      </c>
      <c r="K232" s="148" t="e">
        <f>VLOOKUP(G232,'Input keuzevariabelen'!$E$11:$I$80,5,FALSE)</f>
        <v>#N/A</v>
      </c>
      <c r="L232" s="208">
        <f t="shared" si="54"/>
        <v>0</v>
      </c>
      <c r="M232" s="208">
        <f t="shared" si="55"/>
        <v>0</v>
      </c>
      <c r="N232" s="156"/>
      <c r="O232" s="156"/>
      <c r="P232" s="157"/>
    </row>
    <row r="233" spans="3:16" ht="18" thickTop="1" thickBot="1" x14ac:dyDescent="0.25">
      <c r="C233" s="189"/>
      <c r="D233" s="156"/>
      <c r="E233" s="190"/>
      <c r="F233" s="147" t="e">
        <f>VLOOKUP(G233,'Input keuzevariabelen'!$E$11:$I$80,2,FALSE)</f>
        <v>#N/A</v>
      </c>
      <c r="G233" s="156"/>
      <c r="H233" s="209"/>
      <c r="I233" s="148" t="e">
        <f>VLOOKUP(G233,'Input keuzevariabelen'!$E$11:$I$80,3,FALSE)</f>
        <v>#N/A</v>
      </c>
      <c r="J233" s="211">
        <f>SUMIFS('Input keuzevariabelen'!$H$11:$H$80,'Input keuzevariabelen'!$E$11:$E$80,Data!G233,'Input keuzevariabelen'!$J$11:$J$80,Data!D233)</f>
        <v>0</v>
      </c>
      <c r="K233" s="148" t="e">
        <f>VLOOKUP(G233,'Input keuzevariabelen'!$E$11:$I$80,5,FALSE)</f>
        <v>#N/A</v>
      </c>
      <c r="L233" s="208">
        <f t="shared" si="54"/>
        <v>0</v>
      </c>
      <c r="M233" s="208">
        <f t="shared" si="55"/>
        <v>0</v>
      </c>
      <c r="N233" s="156"/>
      <c r="O233" s="156"/>
      <c r="P233" s="157"/>
    </row>
    <row r="234" spans="3:16" ht="18" thickTop="1" thickBot="1" x14ac:dyDescent="0.25">
      <c r="C234" s="189"/>
      <c r="D234" s="156"/>
      <c r="E234" s="190"/>
      <c r="F234" s="147" t="e">
        <f>VLOOKUP(G234,'Input keuzevariabelen'!$E$11:$I$80,2,FALSE)</f>
        <v>#N/A</v>
      </c>
      <c r="G234" s="156"/>
      <c r="H234" s="209"/>
      <c r="I234" s="148" t="e">
        <f>VLOOKUP(G234,'Input keuzevariabelen'!$E$11:$I$80,3,FALSE)</f>
        <v>#N/A</v>
      </c>
      <c r="J234" s="211">
        <f>SUMIFS('Input keuzevariabelen'!$H$11:$H$80,'Input keuzevariabelen'!$E$11:$E$80,Data!G234,'Input keuzevariabelen'!$J$11:$J$80,Data!D234)</f>
        <v>0</v>
      </c>
      <c r="K234" s="148" t="e">
        <f>VLOOKUP(G234,'Input keuzevariabelen'!$E$11:$I$80,5,FALSE)</f>
        <v>#N/A</v>
      </c>
      <c r="L234" s="208">
        <f t="shared" si="54"/>
        <v>0</v>
      </c>
      <c r="M234" s="208">
        <f t="shared" si="55"/>
        <v>0</v>
      </c>
      <c r="N234" s="156"/>
      <c r="O234" s="156"/>
      <c r="P234" s="157"/>
    </row>
    <row r="235" spans="3:16" ht="18" thickTop="1" thickBot="1" x14ac:dyDescent="0.25">
      <c r="C235" s="189"/>
      <c r="D235" s="156"/>
      <c r="E235" s="190"/>
      <c r="F235" s="147" t="e">
        <f>VLOOKUP(G235,'Input keuzevariabelen'!$E$11:$I$80,2,FALSE)</f>
        <v>#N/A</v>
      </c>
      <c r="G235" s="156"/>
      <c r="H235" s="209"/>
      <c r="I235" s="148" t="e">
        <f>VLOOKUP(G235,'Input keuzevariabelen'!$E$11:$I$80,3,FALSE)</f>
        <v>#N/A</v>
      </c>
      <c r="J235" s="211">
        <f>SUMIFS('Input keuzevariabelen'!$H$11:$H$80,'Input keuzevariabelen'!$E$11:$E$80,Data!G235,'Input keuzevariabelen'!$J$11:$J$80,Data!D235)</f>
        <v>0</v>
      </c>
      <c r="K235" s="148" t="e">
        <f>VLOOKUP(G235,'Input keuzevariabelen'!$E$11:$I$80,5,FALSE)</f>
        <v>#N/A</v>
      </c>
      <c r="L235" s="208">
        <f t="shared" si="54"/>
        <v>0</v>
      </c>
      <c r="M235" s="208">
        <f t="shared" si="55"/>
        <v>0</v>
      </c>
      <c r="N235" s="156"/>
      <c r="O235" s="156"/>
      <c r="P235" s="157"/>
    </row>
    <row r="236" spans="3:16" ht="18" thickTop="1" thickBot="1" x14ac:dyDescent="0.25">
      <c r="C236" s="189"/>
      <c r="D236" s="156"/>
      <c r="E236" s="190"/>
      <c r="F236" s="147" t="e">
        <f>VLOOKUP(G236,'Input keuzevariabelen'!$E$11:$I$80,2,FALSE)</f>
        <v>#N/A</v>
      </c>
      <c r="G236" s="156"/>
      <c r="H236" s="209"/>
      <c r="I236" s="148" t="e">
        <f>VLOOKUP(G236,'Input keuzevariabelen'!$E$11:$I$80,3,FALSE)</f>
        <v>#N/A</v>
      </c>
      <c r="J236" s="211">
        <f>SUMIFS('Input keuzevariabelen'!$H$11:$H$80,'Input keuzevariabelen'!$E$11:$E$80,Data!G236,'Input keuzevariabelen'!$J$11:$J$80,Data!D236)</f>
        <v>0</v>
      </c>
      <c r="K236" s="148" t="e">
        <f>VLOOKUP(G236,'Input keuzevariabelen'!$E$11:$I$80,5,FALSE)</f>
        <v>#N/A</v>
      </c>
      <c r="L236" s="208">
        <f t="shared" si="54"/>
        <v>0</v>
      </c>
      <c r="M236" s="208">
        <f t="shared" si="55"/>
        <v>0</v>
      </c>
      <c r="N236" s="156"/>
      <c r="O236" s="156"/>
      <c r="P236" s="157"/>
    </row>
    <row r="237" spans="3:16" ht="18" thickTop="1" thickBot="1" x14ac:dyDescent="0.25">
      <c r="C237" s="189"/>
      <c r="D237" s="156"/>
      <c r="E237" s="190"/>
      <c r="F237" s="147" t="e">
        <f>VLOOKUP(G237,'Input keuzevariabelen'!$E$11:$I$80,2,FALSE)</f>
        <v>#N/A</v>
      </c>
      <c r="G237" s="156"/>
      <c r="H237" s="209"/>
      <c r="I237" s="148" t="e">
        <f>VLOOKUP(G237,'Input keuzevariabelen'!$E$11:$I$80,3,FALSE)</f>
        <v>#N/A</v>
      </c>
      <c r="J237" s="211">
        <f>SUMIFS('Input keuzevariabelen'!$H$11:$H$80,'Input keuzevariabelen'!$E$11:$E$80,Data!G237,'Input keuzevariabelen'!$J$11:$J$80,Data!D237)</f>
        <v>0</v>
      </c>
      <c r="K237" s="148" t="e">
        <f>VLOOKUP(G237,'Input keuzevariabelen'!$E$11:$I$80,5,FALSE)</f>
        <v>#N/A</v>
      </c>
      <c r="L237" s="208">
        <f t="shared" si="54"/>
        <v>0</v>
      </c>
      <c r="M237" s="208">
        <f t="shared" si="55"/>
        <v>0</v>
      </c>
      <c r="N237" s="156"/>
      <c r="O237" s="156"/>
      <c r="P237" s="157"/>
    </row>
    <row r="238" spans="3:16" ht="18" thickTop="1" thickBot="1" x14ac:dyDescent="0.25">
      <c r="C238" s="189"/>
      <c r="D238" s="156"/>
      <c r="E238" s="190"/>
      <c r="F238" s="147" t="e">
        <f>VLOOKUP(G238,'Input keuzevariabelen'!$E$11:$I$80,2,FALSE)</f>
        <v>#N/A</v>
      </c>
      <c r="G238" s="156"/>
      <c r="H238" s="209"/>
      <c r="I238" s="148" t="e">
        <f>VLOOKUP(G238,'Input keuzevariabelen'!$E$11:$I$80,3,FALSE)</f>
        <v>#N/A</v>
      </c>
      <c r="J238" s="211">
        <f>SUMIFS('Input keuzevariabelen'!$H$11:$H$80,'Input keuzevariabelen'!$E$11:$E$80,Data!G238,'Input keuzevariabelen'!$J$11:$J$80,Data!D238)</f>
        <v>0</v>
      </c>
      <c r="K238" s="148" t="e">
        <f>VLOOKUP(G238,'Input keuzevariabelen'!$E$11:$I$80,5,FALSE)</f>
        <v>#N/A</v>
      </c>
      <c r="L238" s="208">
        <f t="shared" si="54"/>
        <v>0</v>
      </c>
      <c r="M238" s="208">
        <f t="shared" si="55"/>
        <v>0</v>
      </c>
      <c r="N238" s="156"/>
      <c r="O238" s="156"/>
      <c r="P238" s="157"/>
    </row>
    <row r="239" spans="3:16" ht="18" thickTop="1" thickBot="1" x14ac:dyDescent="0.25">
      <c r="C239" s="189"/>
      <c r="D239" s="156"/>
      <c r="E239" s="190"/>
      <c r="F239" s="147" t="e">
        <f>VLOOKUP(G239,'Input keuzevariabelen'!$E$11:$I$80,2,FALSE)</f>
        <v>#N/A</v>
      </c>
      <c r="G239" s="156"/>
      <c r="H239" s="209"/>
      <c r="I239" s="148" t="e">
        <f>VLOOKUP(G239,'Input keuzevariabelen'!$E$11:$I$80,3,FALSE)</f>
        <v>#N/A</v>
      </c>
      <c r="J239" s="211">
        <f>SUMIFS('Input keuzevariabelen'!$H$11:$H$80,'Input keuzevariabelen'!$E$11:$E$80,Data!G239,'Input keuzevariabelen'!$J$11:$J$80,Data!D239)</f>
        <v>0</v>
      </c>
      <c r="K239" s="148" t="e">
        <f>VLOOKUP(G239,'Input keuzevariabelen'!$E$11:$I$80,5,FALSE)</f>
        <v>#N/A</v>
      </c>
      <c r="L239" s="208">
        <f t="shared" si="54"/>
        <v>0</v>
      </c>
      <c r="M239" s="208">
        <f t="shared" si="55"/>
        <v>0</v>
      </c>
      <c r="N239" s="156"/>
      <c r="O239" s="156"/>
      <c r="P239" s="157"/>
    </row>
    <row r="240" spans="3:16" ht="18" thickTop="1" thickBot="1" x14ac:dyDescent="0.25">
      <c r="C240" s="189"/>
      <c r="D240" s="156"/>
      <c r="E240" s="190"/>
      <c r="F240" s="147" t="e">
        <f>VLOOKUP(G240,'Input keuzevariabelen'!$E$11:$I$80,2,FALSE)</f>
        <v>#N/A</v>
      </c>
      <c r="G240" s="156"/>
      <c r="H240" s="209"/>
      <c r="I240" s="148" t="e">
        <f>VLOOKUP(G240,'Input keuzevariabelen'!$E$11:$I$80,3,FALSE)</f>
        <v>#N/A</v>
      </c>
      <c r="J240" s="211">
        <f>SUMIFS('Input keuzevariabelen'!$H$11:$H$80,'Input keuzevariabelen'!$E$11:$E$80,Data!G240,'Input keuzevariabelen'!$J$11:$J$80,Data!D240)</f>
        <v>0</v>
      </c>
      <c r="K240" s="148" t="e">
        <f>VLOOKUP(G240,'Input keuzevariabelen'!$E$11:$I$80,5,FALSE)</f>
        <v>#N/A</v>
      </c>
      <c r="L240" s="208">
        <f t="shared" si="54"/>
        <v>0</v>
      </c>
      <c r="M240" s="208">
        <f t="shared" si="55"/>
        <v>0</v>
      </c>
      <c r="N240" s="156"/>
      <c r="O240" s="156"/>
      <c r="P240" s="157"/>
    </row>
    <row r="241" spans="3:16" ht="18" thickTop="1" thickBot="1" x14ac:dyDescent="0.25">
      <c r="C241" s="189"/>
      <c r="D241" s="156"/>
      <c r="E241" s="190"/>
      <c r="F241" s="147" t="e">
        <f>VLOOKUP(G241,'Input keuzevariabelen'!$E$11:$I$80,2,FALSE)</f>
        <v>#N/A</v>
      </c>
      <c r="G241" s="156"/>
      <c r="H241" s="209"/>
      <c r="I241" s="148" t="e">
        <f>VLOOKUP(G241,'Input keuzevariabelen'!$E$11:$I$80,3,FALSE)</f>
        <v>#N/A</v>
      </c>
      <c r="J241" s="211">
        <f>SUMIFS('Input keuzevariabelen'!$H$11:$H$80,'Input keuzevariabelen'!$E$11:$E$80,Data!G241,'Input keuzevariabelen'!$J$11:$J$80,Data!D241)</f>
        <v>0</v>
      </c>
      <c r="K241" s="148" t="e">
        <f>VLOOKUP(G241,'Input keuzevariabelen'!$E$11:$I$80,5,FALSE)</f>
        <v>#N/A</v>
      </c>
      <c r="L241" s="208">
        <f t="shared" si="54"/>
        <v>0</v>
      </c>
      <c r="M241" s="208">
        <f t="shared" si="55"/>
        <v>0</v>
      </c>
      <c r="N241" s="156"/>
      <c r="O241" s="156"/>
      <c r="P241" s="157"/>
    </row>
    <row r="242" spans="3:16" ht="18" thickTop="1" thickBot="1" x14ac:dyDescent="0.25">
      <c r="C242" s="189"/>
      <c r="D242" s="156"/>
      <c r="E242" s="190"/>
      <c r="F242" s="147" t="e">
        <f>VLOOKUP(G242,'Input keuzevariabelen'!$E$11:$I$80,2,FALSE)</f>
        <v>#N/A</v>
      </c>
      <c r="G242" s="156"/>
      <c r="H242" s="209"/>
      <c r="I242" s="148" t="e">
        <f>VLOOKUP(G242,'Input keuzevariabelen'!$E$11:$I$80,3,FALSE)</f>
        <v>#N/A</v>
      </c>
      <c r="J242" s="211">
        <f>SUMIFS('Input keuzevariabelen'!$H$11:$H$80,'Input keuzevariabelen'!$E$11:$E$80,Data!G242,'Input keuzevariabelen'!$J$11:$J$80,Data!D242)</f>
        <v>0</v>
      </c>
      <c r="K242" s="148" t="e">
        <f>VLOOKUP(G242,'Input keuzevariabelen'!$E$11:$I$80,5,FALSE)</f>
        <v>#N/A</v>
      </c>
      <c r="L242" s="208">
        <f t="shared" si="54"/>
        <v>0</v>
      </c>
      <c r="M242" s="208">
        <f t="shared" si="55"/>
        <v>0</v>
      </c>
      <c r="N242" s="156"/>
      <c r="O242" s="156"/>
      <c r="P242" s="157"/>
    </row>
    <row r="243" spans="3:16" ht="18" thickTop="1" thickBot="1" x14ac:dyDescent="0.25">
      <c r="C243" s="189"/>
      <c r="D243" s="156"/>
      <c r="E243" s="190"/>
      <c r="F243" s="147" t="e">
        <f>VLOOKUP(G243,'Input keuzevariabelen'!$E$11:$I$80,2,FALSE)</f>
        <v>#N/A</v>
      </c>
      <c r="G243" s="156"/>
      <c r="H243" s="209"/>
      <c r="I243" s="148" t="e">
        <f>VLOOKUP(G243,'Input keuzevariabelen'!$E$11:$I$80,3,FALSE)</f>
        <v>#N/A</v>
      </c>
      <c r="J243" s="211">
        <f>SUMIFS('Input keuzevariabelen'!$H$11:$H$80,'Input keuzevariabelen'!$E$11:$E$80,Data!G243,'Input keuzevariabelen'!$J$11:$J$80,Data!D243)</f>
        <v>0</v>
      </c>
      <c r="K243" s="148" t="e">
        <f>VLOOKUP(G243,'Input keuzevariabelen'!$E$11:$I$80,5,FALSE)</f>
        <v>#N/A</v>
      </c>
      <c r="L243" s="208">
        <f t="shared" si="54"/>
        <v>0</v>
      </c>
      <c r="M243" s="208">
        <f t="shared" si="55"/>
        <v>0</v>
      </c>
      <c r="N243" s="156"/>
      <c r="O243" s="156"/>
      <c r="P243" s="157"/>
    </row>
    <row r="244" spans="3:16" ht="18" thickTop="1" thickBot="1" x14ac:dyDescent="0.25">
      <c r="C244" s="189"/>
      <c r="D244" s="156"/>
      <c r="E244" s="190"/>
      <c r="F244" s="147" t="e">
        <f>VLOOKUP(G244,'Input keuzevariabelen'!$E$11:$I$80,2,FALSE)</f>
        <v>#N/A</v>
      </c>
      <c r="G244" s="156"/>
      <c r="H244" s="209"/>
      <c r="I244" s="148" t="e">
        <f>VLOOKUP(G244,'Input keuzevariabelen'!$E$11:$I$80,3,FALSE)</f>
        <v>#N/A</v>
      </c>
      <c r="J244" s="211">
        <f>SUMIFS('Input keuzevariabelen'!$H$11:$H$80,'Input keuzevariabelen'!$E$11:$E$80,Data!G244,'Input keuzevariabelen'!$J$11:$J$80,Data!D244)</f>
        <v>0</v>
      </c>
      <c r="K244" s="148" t="e">
        <f>VLOOKUP(G244,'Input keuzevariabelen'!$E$11:$I$80,5,FALSE)</f>
        <v>#N/A</v>
      </c>
      <c r="L244" s="208">
        <f t="shared" si="54"/>
        <v>0</v>
      </c>
      <c r="M244" s="208">
        <f t="shared" si="55"/>
        <v>0</v>
      </c>
      <c r="N244" s="156"/>
      <c r="O244" s="156"/>
      <c r="P244" s="157"/>
    </row>
    <row r="245" spans="3:16" ht="18" thickTop="1" thickBot="1" x14ac:dyDescent="0.25">
      <c r="C245" s="189"/>
      <c r="D245" s="156"/>
      <c r="E245" s="190"/>
      <c r="F245" s="147" t="e">
        <f>VLOOKUP(G245,'Input keuzevariabelen'!$E$11:$I$80,2,FALSE)</f>
        <v>#N/A</v>
      </c>
      <c r="G245" s="156"/>
      <c r="H245" s="209"/>
      <c r="I245" s="148" t="e">
        <f>VLOOKUP(G245,'Input keuzevariabelen'!$E$11:$I$80,3,FALSE)</f>
        <v>#N/A</v>
      </c>
      <c r="J245" s="211">
        <f>SUMIFS('Input keuzevariabelen'!$H$11:$H$80,'Input keuzevariabelen'!$E$11:$E$80,Data!G245,'Input keuzevariabelen'!$J$11:$J$80,Data!D245)</f>
        <v>0</v>
      </c>
      <c r="K245" s="148" t="e">
        <f>VLOOKUP(G245,'Input keuzevariabelen'!$E$11:$I$80,5,FALSE)</f>
        <v>#N/A</v>
      </c>
      <c r="L245" s="208">
        <f t="shared" si="54"/>
        <v>0</v>
      </c>
      <c r="M245" s="208">
        <f t="shared" si="55"/>
        <v>0</v>
      </c>
      <c r="N245" s="156"/>
      <c r="O245" s="156"/>
      <c r="P245" s="157"/>
    </row>
    <row r="246" spans="3:16" ht="18" thickTop="1" thickBot="1" x14ac:dyDescent="0.25">
      <c r="C246" s="189"/>
      <c r="D246" s="156"/>
      <c r="E246" s="190"/>
      <c r="F246" s="147" t="e">
        <f>VLOOKUP(G246,'Input keuzevariabelen'!$E$11:$I$80,2,FALSE)</f>
        <v>#N/A</v>
      </c>
      <c r="G246" s="156"/>
      <c r="H246" s="209"/>
      <c r="I246" s="148" t="e">
        <f>VLOOKUP(G246,'Input keuzevariabelen'!$E$11:$I$80,3,FALSE)</f>
        <v>#N/A</v>
      </c>
      <c r="J246" s="211">
        <f>SUMIFS('Input keuzevariabelen'!$H$11:$H$80,'Input keuzevariabelen'!$E$11:$E$80,Data!G246,'Input keuzevariabelen'!$J$11:$J$80,Data!D246)</f>
        <v>0</v>
      </c>
      <c r="K246" s="148" t="e">
        <f>VLOOKUP(G246,'Input keuzevariabelen'!$E$11:$I$80,5,FALSE)</f>
        <v>#N/A</v>
      </c>
      <c r="L246" s="208">
        <f t="shared" si="54"/>
        <v>0</v>
      </c>
      <c r="M246" s="208">
        <f t="shared" si="55"/>
        <v>0</v>
      </c>
      <c r="N246" s="156"/>
      <c r="O246" s="156"/>
      <c r="P246" s="157"/>
    </row>
    <row r="247" spans="3:16" ht="18" thickTop="1" thickBot="1" x14ac:dyDescent="0.25">
      <c r="C247" s="189"/>
      <c r="D247" s="156"/>
      <c r="E247" s="190"/>
      <c r="F247" s="147" t="e">
        <f>VLOOKUP(G247,'Input keuzevariabelen'!$E$11:$I$80,2,FALSE)</f>
        <v>#N/A</v>
      </c>
      <c r="G247" s="156"/>
      <c r="H247" s="209"/>
      <c r="I247" s="148" t="e">
        <f>VLOOKUP(G247,'Input keuzevariabelen'!$E$11:$I$80,3,FALSE)</f>
        <v>#N/A</v>
      </c>
      <c r="J247" s="211">
        <f>SUMIFS('Input keuzevariabelen'!$H$11:$H$80,'Input keuzevariabelen'!$E$11:$E$80,Data!G247,'Input keuzevariabelen'!$J$11:$J$80,Data!D247)</f>
        <v>0</v>
      </c>
      <c r="K247" s="148" t="e">
        <f>VLOOKUP(G247,'Input keuzevariabelen'!$E$11:$I$80,5,FALSE)</f>
        <v>#N/A</v>
      </c>
      <c r="L247" s="208">
        <f t="shared" si="54"/>
        <v>0</v>
      </c>
      <c r="M247" s="208">
        <f t="shared" si="55"/>
        <v>0</v>
      </c>
      <c r="N247" s="156"/>
      <c r="O247" s="156"/>
      <c r="P247" s="157"/>
    </row>
    <row r="248" spans="3:16" ht="18" thickTop="1" thickBot="1" x14ac:dyDescent="0.25">
      <c r="C248" s="189"/>
      <c r="D248" s="156"/>
      <c r="E248" s="190"/>
      <c r="F248" s="147" t="e">
        <f>VLOOKUP(G248,'Input keuzevariabelen'!$E$11:$I$80,2,FALSE)</f>
        <v>#N/A</v>
      </c>
      <c r="G248" s="156"/>
      <c r="H248" s="209"/>
      <c r="I248" s="148" t="e">
        <f>VLOOKUP(G248,'Input keuzevariabelen'!$E$11:$I$80,3,FALSE)</f>
        <v>#N/A</v>
      </c>
      <c r="J248" s="211">
        <f>SUMIFS('Input keuzevariabelen'!$H$11:$H$80,'Input keuzevariabelen'!$E$11:$E$80,Data!G248,'Input keuzevariabelen'!$J$11:$J$80,Data!D248)</f>
        <v>0</v>
      </c>
      <c r="K248" s="148" t="e">
        <f>VLOOKUP(G248,'Input keuzevariabelen'!$E$11:$I$80,5,FALSE)</f>
        <v>#N/A</v>
      </c>
      <c r="L248" s="208">
        <f t="shared" si="54"/>
        <v>0</v>
      </c>
      <c r="M248" s="208">
        <f t="shared" si="55"/>
        <v>0</v>
      </c>
      <c r="N248" s="156"/>
      <c r="O248" s="156"/>
      <c r="P248" s="157"/>
    </row>
    <row r="249" spans="3:16" ht="18" thickTop="1" thickBot="1" x14ac:dyDescent="0.25">
      <c r="C249" s="189"/>
      <c r="D249" s="156"/>
      <c r="E249" s="190"/>
      <c r="F249" s="147" t="e">
        <f>VLOOKUP(G249,'Input keuzevariabelen'!$E$11:$I$80,2,FALSE)</f>
        <v>#N/A</v>
      </c>
      <c r="G249" s="156"/>
      <c r="H249" s="209"/>
      <c r="I249" s="148" t="e">
        <f>VLOOKUP(G249,'Input keuzevariabelen'!$E$11:$I$80,3,FALSE)</f>
        <v>#N/A</v>
      </c>
      <c r="J249" s="211">
        <f>SUMIFS('Input keuzevariabelen'!$H$11:$H$80,'Input keuzevariabelen'!$E$11:$E$80,Data!G249,'Input keuzevariabelen'!$J$11:$J$80,Data!D249)</f>
        <v>0</v>
      </c>
      <c r="K249" s="148" t="e">
        <f>VLOOKUP(G249,'Input keuzevariabelen'!$E$11:$I$80,5,FALSE)</f>
        <v>#N/A</v>
      </c>
      <c r="L249" s="208">
        <f t="shared" si="54"/>
        <v>0</v>
      </c>
      <c r="M249" s="208">
        <f t="shared" si="55"/>
        <v>0</v>
      </c>
      <c r="N249" s="156"/>
      <c r="O249" s="156"/>
      <c r="P249" s="157"/>
    </row>
    <row r="250" spans="3:16" ht="18" thickTop="1" thickBot="1" x14ac:dyDescent="0.25">
      <c r="C250" s="189"/>
      <c r="D250" s="156"/>
      <c r="E250" s="190"/>
      <c r="F250" s="147" t="e">
        <f>VLOOKUP(G250,'Input keuzevariabelen'!$E$11:$I$80,2,FALSE)</f>
        <v>#N/A</v>
      </c>
      <c r="G250" s="156"/>
      <c r="H250" s="209"/>
      <c r="I250" s="148" t="e">
        <f>VLOOKUP(G250,'Input keuzevariabelen'!$E$11:$I$80,3,FALSE)</f>
        <v>#N/A</v>
      </c>
      <c r="J250" s="211">
        <f>SUMIFS('Input keuzevariabelen'!$H$11:$H$80,'Input keuzevariabelen'!$E$11:$E$80,Data!G250,'Input keuzevariabelen'!$J$11:$J$80,Data!D250)</f>
        <v>0</v>
      </c>
      <c r="K250" s="148" t="e">
        <f>VLOOKUP(G250,'Input keuzevariabelen'!$E$11:$I$80,5,FALSE)</f>
        <v>#N/A</v>
      </c>
      <c r="L250" s="208">
        <f t="shared" si="54"/>
        <v>0</v>
      </c>
      <c r="M250" s="208">
        <f t="shared" si="55"/>
        <v>0</v>
      </c>
      <c r="N250" s="156"/>
      <c r="O250" s="156"/>
      <c r="P250" s="157"/>
    </row>
    <row r="251" spans="3:16" ht="18" thickTop="1" thickBot="1" x14ac:dyDescent="0.25">
      <c r="C251" s="189"/>
      <c r="D251" s="156"/>
      <c r="E251" s="190"/>
      <c r="F251" s="147" t="e">
        <f>VLOOKUP(G251,'Input keuzevariabelen'!$E$11:$I$80,2,FALSE)</f>
        <v>#N/A</v>
      </c>
      <c r="G251" s="156"/>
      <c r="H251" s="209"/>
      <c r="I251" s="148" t="e">
        <f>VLOOKUP(G251,'Input keuzevariabelen'!$E$11:$I$80,3,FALSE)</f>
        <v>#N/A</v>
      </c>
      <c r="J251" s="211">
        <f>SUMIFS('Input keuzevariabelen'!$H$11:$H$80,'Input keuzevariabelen'!$E$11:$E$80,Data!G251,'Input keuzevariabelen'!$J$11:$J$80,Data!D251)</f>
        <v>0</v>
      </c>
      <c r="K251" s="148" t="e">
        <f>VLOOKUP(G251,'Input keuzevariabelen'!$E$11:$I$80,5,FALSE)</f>
        <v>#N/A</v>
      </c>
      <c r="L251" s="208">
        <f t="shared" si="54"/>
        <v>0</v>
      </c>
      <c r="M251" s="208">
        <f t="shared" si="55"/>
        <v>0</v>
      </c>
      <c r="N251" s="156"/>
      <c r="O251" s="156"/>
      <c r="P251" s="157"/>
    </row>
    <row r="252" spans="3:16" ht="18" thickTop="1" thickBot="1" x14ac:dyDescent="0.25">
      <c r="C252" s="189"/>
      <c r="D252" s="156"/>
      <c r="E252" s="190"/>
      <c r="F252" s="147" t="e">
        <f>VLOOKUP(G252,'Input keuzevariabelen'!$E$11:$I$80,2,FALSE)</f>
        <v>#N/A</v>
      </c>
      <c r="G252" s="156"/>
      <c r="H252" s="209"/>
      <c r="I252" s="148" t="e">
        <f>VLOOKUP(G252,'Input keuzevariabelen'!$E$11:$I$80,3,FALSE)</f>
        <v>#N/A</v>
      </c>
      <c r="J252" s="211">
        <f>SUMIFS('Input keuzevariabelen'!$H$11:$H$80,'Input keuzevariabelen'!$E$11:$E$80,Data!G252,'Input keuzevariabelen'!$J$11:$J$80,Data!D252)</f>
        <v>0</v>
      </c>
      <c r="K252" s="148" t="e">
        <f>VLOOKUP(G252,'Input keuzevariabelen'!$E$11:$I$80,5,FALSE)</f>
        <v>#N/A</v>
      </c>
      <c r="L252" s="208">
        <f t="shared" si="54"/>
        <v>0</v>
      </c>
      <c r="M252" s="208">
        <f t="shared" si="55"/>
        <v>0</v>
      </c>
      <c r="N252" s="156"/>
      <c r="O252" s="156"/>
      <c r="P252" s="157"/>
    </row>
    <row r="253" spans="3:16" ht="18" thickTop="1" thickBot="1" x14ac:dyDescent="0.25">
      <c r="C253" s="189"/>
      <c r="D253" s="156"/>
      <c r="E253" s="190"/>
      <c r="F253" s="147" t="e">
        <f>VLOOKUP(G253,'Input keuzevariabelen'!$E$11:$I$80,2,FALSE)</f>
        <v>#N/A</v>
      </c>
      <c r="G253" s="156"/>
      <c r="H253" s="209"/>
      <c r="I253" s="148" t="e">
        <f>VLOOKUP(G253,'Input keuzevariabelen'!$E$11:$I$80,3,FALSE)</f>
        <v>#N/A</v>
      </c>
      <c r="J253" s="211">
        <f>SUMIFS('Input keuzevariabelen'!$H$11:$H$80,'Input keuzevariabelen'!$E$11:$E$80,Data!G253,'Input keuzevariabelen'!$J$11:$J$80,Data!D253)</f>
        <v>0</v>
      </c>
      <c r="K253" s="148" t="e">
        <f>VLOOKUP(G253,'Input keuzevariabelen'!$E$11:$I$80,5,FALSE)</f>
        <v>#N/A</v>
      </c>
      <c r="L253" s="208">
        <f t="shared" si="54"/>
        <v>0</v>
      </c>
      <c r="M253" s="208">
        <f t="shared" si="55"/>
        <v>0</v>
      </c>
      <c r="N253" s="156"/>
      <c r="O253" s="156"/>
      <c r="P253" s="157"/>
    </row>
    <row r="254" spans="3:16" ht="18" thickTop="1" thickBot="1" x14ac:dyDescent="0.25">
      <c r="C254" s="189"/>
      <c r="D254" s="156"/>
      <c r="E254" s="190"/>
      <c r="F254" s="147" t="e">
        <f>VLOOKUP(G254,'Input keuzevariabelen'!$E$11:$I$80,2,FALSE)</f>
        <v>#N/A</v>
      </c>
      <c r="G254" s="156"/>
      <c r="H254" s="209"/>
      <c r="I254" s="148" t="e">
        <f>VLOOKUP(G254,'Input keuzevariabelen'!$E$11:$I$80,3,FALSE)</f>
        <v>#N/A</v>
      </c>
      <c r="J254" s="211">
        <f>SUMIFS('Input keuzevariabelen'!$H$11:$H$80,'Input keuzevariabelen'!$E$11:$E$80,Data!G254,'Input keuzevariabelen'!$J$11:$J$80,Data!D254)</f>
        <v>0</v>
      </c>
      <c r="K254" s="148" t="e">
        <f>VLOOKUP(G254,'Input keuzevariabelen'!$E$11:$I$80,5,FALSE)</f>
        <v>#N/A</v>
      </c>
      <c r="L254" s="208">
        <f t="shared" si="54"/>
        <v>0</v>
      </c>
      <c r="M254" s="208">
        <f t="shared" si="55"/>
        <v>0</v>
      </c>
      <c r="N254" s="156"/>
      <c r="O254" s="156"/>
      <c r="P254" s="157"/>
    </row>
    <row r="255" spans="3:16" ht="18" thickTop="1" thickBot="1" x14ac:dyDescent="0.25">
      <c r="C255" s="189"/>
      <c r="D255" s="156"/>
      <c r="E255" s="190"/>
      <c r="F255" s="147" t="e">
        <f>VLOOKUP(G255,'Input keuzevariabelen'!$E$11:$I$80,2,FALSE)</f>
        <v>#N/A</v>
      </c>
      <c r="G255" s="156"/>
      <c r="H255" s="209"/>
      <c r="I255" s="148" t="e">
        <f>VLOOKUP(G255,'Input keuzevariabelen'!$E$11:$I$80,3,FALSE)</f>
        <v>#N/A</v>
      </c>
      <c r="J255" s="211">
        <f>SUMIFS('Input keuzevariabelen'!$H$11:$H$80,'Input keuzevariabelen'!$E$11:$E$80,Data!G255,'Input keuzevariabelen'!$J$11:$J$80,Data!D255)</f>
        <v>0</v>
      </c>
      <c r="K255" s="148" t="e">
        <f>VLOOKUP(G255,'Input keuzevariabelen'!$E$11:$I$80,5,FALSE)</f>
        <v>#N/A</v>
      </c>
      <c r="L255" s="208">
        <f t="shared" si="54"/>
        <v>0</v>
      </c>
      <c r="M255" s="208">
        <f t="shared" si="55"/>
        <v>0</v>
      </c>
      <c r="N255" s="156"/>
      <c r="O255" s="156"/>
      <c r="P255" s="157"/>
    </row>
    <row r="256" spans="3:16" ht="18" thickTop="1" thickBot="1" x14ac:dyDescent="0.25">
      <c r="C256" s="189"/>
      <c r="D256" s="156"/>
      <c r="E256" s="190"/>
      <c r="F256" s="147" t="e">
        <f>VLOOKUP(G256,'Input keuzevariabelen'!$E$11:$I$80,2,FALSE)</f>
        <v>#N/A</v>
      </c>
      <c r="G256" s="156"/>
      <c r="H256" s="209"/>
      <c r="I256" s="148" t="e">
        <f>VLOOKUP(G256,'Input keuzevariabelen'!$E$11:$I$80,3,FALSE)</f>
        <v>#N/A</v>
      </c>
      <c r="J256" s="211">
        <f>SUMIFS('Input keuzevariabelen'!$H$11:$H$80,'Input keuzevariabelen'!$E$11:$E$80,Data!G256,'Input keuzevariabelen'!$J$11:$J$80,Data!D256)</f>
        <v>0</v>
      </c>
      <c r="K256" s="148" t="e">
        <f>VLOOKUP(G256,'Input keuzevariabelen'!$E$11:$I$80,5,FALSE)</f>
        <v>#N/A</v>
      </c>
      <c r="L256" s="208">
        <f t="shared" si="54"/>
        <v>0</v>
      </c>
      <c r="M256" s="208">
        <f t="shared" si="55"/>
        <v>0</v>
      </c>
      <c r="N256" s="156"/>
      <c r="O256" s="156"/>
      <c r="P256" s="157"/>
    </row>
    <row r="257" spans="3:16" ht="18" thickTop="1" thickBot="1" x14ac:dyDescent="0.25">
      <c r="C257" s="189"/>
      <c r="D257" s="156"/>
      <c r="E257" s="190"/>
      <c r="F257" s="147" t="e">
        <f>VLOOKUP(G257,'Input keuzevariabelen'!$E$11:$I$80,2,FALSE)</f>
        <v>#N/A</v>
      </c>
      <c r="G257" s="156"/>
      <c r="H257" s="209"/>
      <c r="I257" s="148" t="e">
        <f>VLOOKUP(G257,'Input keuzevariabelen'!$E$11:$I$80,3,FALSE)</f>
        <v>#N/A</v>
      </c>
      <c r="J257" s="211">
        <f>SUMIFS('Input keuzevariabelen'!$H$11:$H$80,'Input keuzevariabelen'!$E$11:$E$80,Data!G257,'Input keuzevariabelen'!$J$11:$J$80,Data!D257)</f>
        <v>0</v>
      </c>
      <c r="K257" s="148" t="e">
        <f>VLOOKUP(G257,'Input keuzevariabelen'!$E$11:$I$80,5,FALSE)</f>
        <v>#N/A</v>
      </c>
      <c r="L257" s="208">
        <f t="shared" si="54"/>
        <v>0</v>
      </c>
      <c r="M257" s="208">
        <f t="shared" si="55"/>
        <v>0</v>
      </c>
      <c r="N257" s="156"/>
      <c r="O257" s="156"/>
      <c r="P257" s="157"/>
    </row>
    <row r="258" spans="3:16" ht="18" thickTop="1" thickBot="1" x14ac:dyDescent="0.25">
      <c r="C258" s="189"/>
      <c r="D258" s="156"/>
      <c r="E258" s="190"/>
      <c r="F258" s="147" t="e">
        <f>VLOOKUP(G258,'Input keuzevariabelen'!$E$11:$I$80,2,FALSE)</f>
        <v>#N/A</v>
      </c>
      <c r="G258" s="156"/>
      <c r="H258" s="209"/>
      <c r="I258" s="148" t="e">
        <f>VLOOKUP(G258,'Input keuzevariabelen'!$E$11:$I$80,3,FALSE)</f>
        <v>#N/A</v>
      </c>
      <c r="J258" s="211">
        <f>SUMIFS('Input keuzevariabelen'!$H$11:$H$80,'Input keuzevariabelen'!$E$11:$E$80,Data!G258,'Input keuzevariabelen'!$J$11:$J$80,Data!D258)</f>
        <v>0</v>
      </c>
      <c r="K258" s="148" t="e">
        <f>VLOOKUP(G258,'Input keuzevariabelen'!$E$11:$I$80,5,FALSE)</f>
        <v>#N/A</v>
      </c>
      <c r="L258" s="208">
        <f t="shared" si="54"/>
        <v>0</v>
      </c>
      <c r="M258" s="208">
        <f t="shared" si="55"/>
        <v>0</v>
      </c>
      <c r="N258" s="156"/>
      <c r="O258" s="156"/>
      <c r="P258" s="157"/>
    </row>
    <row r="259" spans="3:16" ht="18" thickTop="1" thickBot="1" x14ac:dyDescent="0.25">
      <c r="C259" s="189"/>
      <c r="D259" s="156"/>
      <c r="E259" s="190"/>
      <c r="F259" s="147" t="e">
        <f>VLOOKUP(G259,'Input keuzevariabelen'!$E$11:$I$80,2,FALSE)</f>
        <v>#N/A</v>
      </c>
      <c r="G259" s="156"/>
      <c r="H259" s="209"/>
      <c r="I259" s="148" t="e">
        <f>VLOOKUP(G259,'Input keuzevariabelen'!$E$11:$I$80,3,FALSE)</f>
        <v>#N/A</v>
      </c>
      <c r="J259" s="211">
        <f>SUMIFS('Input keuzevariabelen'!$H$11:$H$80,'Input keuzevariabelen'!$E$11:$E$80,Data!G259,'Input keuzevariabelen'!$J$11:$J$80,Data!D259)</f>
        <v>0</v>
      </c>
      <c r="K259" s="148" t="e">
        <f>VLOOKUP(G259,'Input keuzevariabelen'!$E$11:$I$80,5,FALSE)</f>
        <v>#N/A</v>
      </c>
      <c r="L259" s="208">
        <f t="shared" si="54"/>
        <v>0</v>
      </c>
      <c r="M259" s="208">
        <f t="shared" si="55"/>
        <v>0</v>
      </c>
      <c r="N259" s="156"/>
      <c r="O259" s="156"/>
      <c r="P259" s="157"/>
    </row>
    <row r="260" spans="3:16" ht="18" thickTop="1" thickBot="1" x14ac:dyDescent="0.25">
      <c r="C260" s="189"/>
      <c r="D260" s="156"/>
      <c r="E260" s="190"/>
      <c r="F260" s="147" t="e">
        <f>VLOOKUP(G260,'Input keuzevariabelen'!$E$11:$I$80,2,FALSE)</f>
        <v>#N/A</v>
      </c>
      <c r="G260" s="156"/>
      <c r="H260" s="209"/>
      <c r="I260" s="148" t="e">
        <f>VLOOKUP(G260,'Input keuzevariabelen'!$E$11:$I$80,3,FALSE)</f>
        <v>#N/A</v>
      </c>
      <c r="J260" s="211">
        <f>SUMIFS('Input keuzevariabelen'!$H$11:$H$80,'Input keuzevariabelen'!$E$11:$E$80,Data!G260,'Input keuzevariabelen'!$J$11:$J$80,Data!D260)</f>
        <v>0</v>
      </c>
      <c r="K260" s="148" t="e">
        <f>VLOOKUP(G260,'Input keuzevariabelen'!$E$11:$I$80,5,FALSE)</f>
        <v>#N/A</v>
      </c>
      <c r="L260" s="208">
        <f t="shared" si="54"/>
        <v>0</v>
      </c>
      <c r="M260" s="208">
        <f t="shared" si="55"/>
        <v>0</v>
      </c>
      <c r="N260" s="156"/>
      <c r="O260" s="156"/>
      <c r="P260" s="157"/>
    </row>
    <row r="261" spans="3:16" ht="18" thickTop="1" thickBot="1" x14ac:dyDescent="0.25">
      <c r="C261" s="189"/>
      <c r="D261" s="156"/>
      <c r="E261" s="190"/>
      <c r="F261" s="147" t="e">
        <f>VLOOKUP(G261,'Input keuzevariabelen'!$E$11:$I$80,2,FALSE)</f>
        <v>#N/A</v>
      </c>
      <c r="G261" s="156"/>
      <c r="H261" s="209"/>
      <c r="I261" s="148" t="e">
        <f>VLOOKUP(G261,'Input keuzevariabelen'!$E$11:$I$80,3,FALSE)</f>
        <v>#N/A</v>
      </c>
      <c r="J261" s="211">
        <f>SUMIFS('Input keuzevariabelen'!$H$11:$H$80,'Input keuzevariabelen'!$E$11:$E$80,Data!G261,'Input keuzevariabelen'!$J$11:$J$80,Data!D261)</f>
        <v>0</v>
      </c>
      <c r="K261" s="148" t="e">
        <f>VLOOKUP(G261,'Input keuzevariabelen'!$E$11:$I$80,5,FALSE)</f>
        <v>#N/A</v>
      </c>
      <c r="L261" s="208">
        <f t="shared" si="54"/>
        <v>0</v>
      </c>
      <c r="M261" s="208">
        <f t="shared" si="55"/>
        <v>0</v>
      </c>
      <c r="N261" s="156"/>
      <c r="O261" s="156"/>
      <c r="P261" s="157"/>
    </row>
    <row r="262" spans="3:16" ht="18" thickTop="1" thickBot="1" x14ac:dyDescent="0.25">
      <c r="C262" s="189"/>
      <c r="D262" s="156"/>
      <c r="E262" s="190"/>
      <c r="F262" s="147" t="e">
        <f>VLOOKUP(G262,'Input keuzevariabelen'!$E$11:$I$80,2,FALSE)</f>
        <v>#N/A</v>
      </c>
      <c r="G262" s="156"/>
      <c r="H262" s="209"/>
      <c r="I262" s="148" t="e">
        <f>VLOOKUP(G262,'Input keuzevariabelen'!$E$11:$I$80,3,FALSE)</f>
        <v>#N/A</v>
      </c>
      <c r="J262" s="211">
        <f>SUMIFS('Input keuzevariabelen'!$H$11:$H$80,'Input keuzevariabelen'!$E$11:$E$80,Data!G262,'Input keuzevariabelen'!$J$11:$J$80,Data!D262)</f>
        <v>0</v>
      </c>
      <c r="K262" s="148" t="e">
        <f>VLOOKUP(G262,'Input keuzevariabelen'!$E$11:$I$80,5,FALSE)</f>
        <v>#N/A</v>
      </c>
      <c r="L262" s="208">
        <f t="shared" si="54"/>
        <v>0</v>
      </c>
      <c r="M262" s="208">
        <f t="shared" si="55"/>
        <v>0</v>
      </c>
      <c r="N262" s="156"/>
      <c r="O262" s="156"/>
      <c r="P262" s="157"/>
    </row>
    <row r="263" spans="3:16" ht="18" thickTop="1" thickBot="1" x14ac:dyDescent="0.25">
      <c r="C263" s="189"/>
      <c r="D263" s="156"/>
      <c r="E263" s="190"/>
      <c r="F263" s="147" t="e">
        <f>VLOOKUP(G263,'Input keuzevariabelen'!$E$11:$I$80,2,FALSE)</f>
        <v>#N/A</v>
      </c>
      <c r="G263" s="156"/>
      <c r="H263" s="209"/>
      <c r="I263" s="148" t="e">
        <f>VLOOKUP(G263,'Input keuzevariabelen'!$E$11:$I$80,3,FALSE)</f>
        <v>#N/A</v>
      </c>
      <c r="J263" s="211">
        <f>SUMIFS('Input keuzevariabelen'!$H$11:$H$80,'Input keuzevariabelen'!$E$11:$E$80,Data!G263,'Input keuzevariabelen'!$J$11:$J$80,Data!D263)</f>
        <v>0</v>
      </c>
      <c r="K263" s="148" t="e">
        <f>VLOOKUP(G263,'Input keuzevariabelen'!$E$11:$I$80,5,FALSE)</f>
        <v>#N/A</v>
      </c>
      <c r="L263" s="208">
        <f t="shared" si="54"/>
        <v>0</v>
      </c>
      <c r="M263" s="208">
        <f t="shared" si="55"/>
        <v>0</v>
      </c>
      <c r="N263" s="156"/>
      <c r="O263" s="156"/>
      <c r="P263" s="157"/>
    </row>
    <row r="264" spans="3:16" ht="18" thickTop="1" thickBot="1" x14ac:dyDescent="0.25">
      <c r="C264" s="189"/>
      <c r="D264" s="156"/>
      <c r="E264" s="190"/>
      <c r="F264" s="147" t="e">
        <f>VLOOKUP(G264,'Input keuzevariabelen'!$E$11:$I$80,2,FALSE)</f>
        <v>#N/A</v>
      </c>
      <c r="G264" s="156"/>
      <c r="H264" s="209"/>
      <c r="I264" s="148" t="e">
        <f>VLOOKUP(G264,'Input keuzevariabelen'!$E$11:$I$80,3,FALSE)</f>
        <v>#N/A</v>
      </c>
      <c r="J264" s="211">
        <f>SUMIFS('Input keuzevariabelen'!$H$11:$H$80,'Input keuzevariabelen'!$E$11:$E$80,Data!G264,'Input keuzevariabelen'!$J$11:$J$80,Data!D264)</f>
        <v>0</v>
      </c>
      <c r="K264" s="148" t="e">
        <f>VLOOKUP(G264,'Input keuzevariabelen'!$E$11:$I$80,5,FALSE)</f>
        <v>#N/A</v>
      </c>
      <c r="L264" s="208">
        <f t="shared" si="54"/>
        <v>0</v>
      </c>
      <c r="M264" s="208">
        <f t="shared" si="55"/>
        <v>0</v>
      </c>
      <c r="N264" s="156"/>
      <c r="O264" s="156"/>
      <c r="P264" s="157"/>
    </row>
    <row r="265" spans="3:16" ht="18" thickTop="1" thickBot="1" x14ac:dyDescent="0.25">
      <c r="C265" s="189"/>
      <c r="D265" s="156"/>
      <c r="E265" s="190"/>
      <c r="F265" s="147" t="e">
        <f>VLOOKUP(G265,'Input keuzevariabelen'!$E$11:$I$80,2,FALSE)</f>
        <v>#N/A</v>
      </c>
      <c r="G265" s="156"/>
      <c r="H265" s="209"/>
      <c r="I265" s="148" t="e">
        <f>VLOOKUP(G265,'Input keuzevariabelen'!$E$11:$I$80,3,FALSE)</f>
        <v>#N/A</v>
      </c>
      <c r="J265" s="211">
        <f>SUMIFS('Input keuzevariabelen'!$H$11:$H$80,'Input keuzevariabelen'!$E$11:$E$80,Data!G265,'Input keuzevariabelen'!$J$11:$J$80,Data!D265)</f>
        <v>0</v>
      </c>
      <c r="K265" s="148" t="e">
        <f>VLOOKUP(G265,'Input keuzevariabelen'!$E$11:$I$80,5,FALSE)</f>
        <v>#N/A</v>
      </c>
      <c r="L265" s="208">
        <f t="shared" si="54"/>
        <v>0</v>
      </c>
      <c r="M265" s="208">
        <f t="shared" si="55"/>
        <v>0</v>
      </c>
      <c r="N265" s="156"/>
      <c r="O265" s="156"/>
      <c r="P265" s="157"/>
    </row>
    <row r="266" spans="3:16" ht="18" thickTop="1" thickBot="1" x14ac:dyDescent="0.25">
      <c r="C266" s="189"/>
      <c r="D266" s="156"/>
      <c r="E266" s="190"/>
      <c r="F266" s="147" t="e">
        <f>VLOOKUP(G266,'Input keuzevariabelen'!$E$11:$I$80,2,FALSE)</f>
        <v>#N/A</v>
      </c>
      <c r="G266" s="156"/>
      <c r="H266" s="209"/>
      <c r="I266" s="148" t="e">
        <f>VLOOKUP(G266,'Input keuzevariabelen'!$E$11:$I$80,3,FALSE)</f>
        <v>#N/A</v>
      </c>
      <c r="J266" s="211">
        <f>SUMIFS('Input keuzevariabelen'!$H$11:$H$80,'Input keuzevariabelen'!$E$11:$E$80,Data!G266,'Input keuzevariabelen'!$J$11:$J$80,Data!D266)</f>
        <v>0</v>
      </c>
      <c r="K266" s="148" t="e">
        <f>VLOOKUP(G266,'Input keuzevariabelen'!$E$11:$I$80,5,FALSE)</f>
        <v>#N/A</v>
      </c>
      <c r="L266" s="208">
        <f t="shared" si="54"/>
        <v>0</v>
      </c>
      <c r="M266" s="208">
        <f t="shared" si="55"/>
        <v>0</v>
      </c>
      <c r="N266" s="156"/>
      <c r="O266" s="156"/>
      <c r="P266" s="157"/>
    </row>
    <row r="267" spans="3:16" ht="18" thickTop="1" thickBot="1" x14ac:dyDescent="0.25">
      <c r="C267" s="189"/>
      <c r="D267" s="156"/>
      <c r="E267" s="190"/>
      <c r="F267" s="147" t="e">
        <f>VLOOKUP(G267,'Input keuzevariabelen'!$E$11:$I$80,2,FALSE)</f>
        <v>#N/A</v>
      </c>
      <c r="G267" s="156"/>
      <c r="H267" s="209"/>
      <c r="I267" s="148" t="e">
        <f>VLOOKUP(G267,'Input keuzevariabelen'!$E$11:$I$80,3,FALSE)</f>
        <v>#N/A</v>
      </c>
      <c r="J267" s="211">
        <f>SUMIFS('Input keuzevariabelen'!$H$11:$H$80,'Input keuzevariabelen'!$E$11:$E$80,Data!G267,'Input keuzevariabelen'!$J$11:$J$80,Data!D267)</f>
        <v>0</v>
      </c>
      <c r="K267" s="148" t="e">
        <f>VLOOKUP(G267,'Input keuzevariabelen'!$E$11:$I$80,5,FALSE)</f>
        <v>#N/A</v>
      </c>
      <c r="L267" s="208">
        <f t="shared" si="54"/>
        <v>0</v>
      </c>
      <c r="M267" s="208">
        <f t="shared" si="55"/>
        <v>0</v>
      </c>
      <c r="N267" s="156"/>
      <c r="O267" s="156"/>
      <c r="P267" s="157"/>
    </row>
    <row r="268" spans="3:16" ht="18" thickTop="1" thickBot="1" x14ac:dyDescent="0.25">
      <c r="C268" s="189"/>
      <c r="D268" s="156"/>
      <c r="E268" s="190"/>
      <c r="F268" s="147" t="e">
        <f>VLOOKUP(G268,'Input keuzevariabelen'!$E$11:$I$80,2,FALSE)</f>
        <v>#N/A</v>
      </c>
      <c r="G268" s="156"/>
      <c r="H268" s="209"/>
      <c r="I268" s="148" t="e">
        <f>VLOOKUP(G268,'Input keuzevariabelen'!$E$11:$I$80,3,FALSE)</f>
        <v>#N/A</v>
      </c>
      <c r="J268" s="211">
        <f>SUMIFS('Input keuzevariabelen'!$H$11:$H$80,'Input keuzevariabelen'!$E$11:$E$80,Data!G268,'Input keuzevariabelen'!$J$11:$J$80,Data!D268)</f>
        <v>0</v>
      </c>
      <c r="K268" s="148" t="e">
        <f>VLOOKUP(G268,'Input keuzevariabelen'!$E$11:$I$80,5,FALSE)</f>
        <v>#N/A</v>
      </c>
      <c r="L268" s="208">
        <f t="shared" si="54"/>
        <v>0</v>
      </c>
      <c r="M268" s="208">
        <f t="shared" si="55"/>
        <v>0</v>
      </c>
      <c r="N268" s="156"/>
      <c r="O268" s="156"/>
      <c r="P268" s="157"/>
    </row>
    <row r="269" spans="3:16" ht="18" thickTop="1" thickBot="1" x14ac:dyDescent="0.25">
      <c r="C269" s="189"/>
      <c r="D269" s="156"/>
      <c r="E269" s="190"/>
      <c r="F269" s="147" t="e">
        <f>VLOOKUP(G269,'Input keuzevariabelen'!$E$11:$I$80,2,FALSE)</f>
        <v>#N/A</v>
      </c>
      <c r="G269" s="156"/>
      <c r="H269" s="209"/>
      <c r="I269" s="148" t="e">
        <f>VLOOKUP(G269,'Input keuzevariabelen'!$E$11:$I$80,3,FALSE)</f>
        <v>#N/A</v>
      </c>
      <c r="J269" s="211">
        <f>SUMIFS('Input keuzevariabelen'!$H$11:$H$80,'Input keuzevariabelen'!$E$11:$E$80,Data!G269,'Input keuzevariabelen'!$J$11:$J$80,Data!D269)</f>
        <v>0</v>
      </c>
      <c r="K269" s="148" t="e">
        <f>VLOOKUP(G269,'Input keuzevariabelen'!$E$11:$I$80,5,FALSE)</f>
        <v>#N/A</v>
      </c>
      <c r="L269" s="208">
        <f t="shared" si="54"/>
        <v>0</v>
      </c>
      <c r="M269" s="208">
        <f t="shared" si="55"/>
        <v>0</v>
      </c>
      <c r="N269" s="156"/>
      <c r="O269" s="156"/>
      <c r="P269" s="157"/>
    </row>
    <row r="270" spans="3:16" ht="18" thickTop="1" thickBot="1" x14ac:dyDescent="0.25">
      <c r="C270" s="189"/>
      <c r="D270" s="156"/>
      <c r="E270" s="190"/>
      <c r="F270" s="147" t="e">
        <f>VLOOKUP(G270,'Input keuzevariabelen'!$E$11:$I$80,2,FALSE)</f>
        <v>#N/A</v>
      </c>
      <c r="G270" s="156"/>
      <c r="H270" s="209"/>
      <c r="I270" s="148" t="e">
        <f>VLOOKUP(G270,'Input keuzevariabelen'!$E$11:$I$80,3,FALSE)</f>
        <v>#N/A</v>
      </c>
      <c r="J270" s="211">
        <f>SUMIFS('Input keuzevariabelen'!$H$11:$H$80,'Input keuzevariabelen'!$E$11:$E$80,Data!G270,'Input keuzevariabelen'!$J$11:$J$80,Data!D270)</f>
        <v>0</v>
      </c>
      <c r="K270" s="148" t="e">
        <f>VLOOKUP(G270,'Input keuzevariabelen'!$E$11:$I$80,5,FALSE)</f>
        <v>#N/A</v>
      </c>
      <c r="L270" s="208">
        <f t="shared" si="54"/>
        <v>0</v>
      </c>
      <c r="M270" s="208">
        <f t="shared" si="55"/>
        <v>0</v>
      </c>
      <c r="N270" s="156"/>
      <c r="O270" s="156"/>
      <c r="P270" s="157"/>
    </row>
    <row r="271" spans="3:16" ht="18" thickTop="1" thickBot="1" x14ac:dyDescent="0.25">
      <c r="C271" s="189"/>
      <c r="D271" s="156"/>
      <c r="E271" s="190"/>
      <c r="F271" s="147" t="e">
        <f>VLOOKUP(G271,'Input keuzevariabelen'!$E$11:$I$80,2,FALSE)</f>
        <v>#N/A</v>
      </c>
      <c r="G271" s="156"/>
      <c r="H271" s="209"/>
      <c r="I271" s="148" t="e">
        <f>VLOOKUP(G271,'Input keuzevariabelen'!$E$11:$I$80,3,FALSE)</f>
        <v>#N/A</v>
      </c>
      <c r="J271" s="211">
        <f>SUMIFS('Input keuzevariabelen'!$H$11:$H$80,'Input keuzevariabelen'!$E$11:$E$80,Data!G271,'Input keuzevariabelen'!$J$11:$J$80,Data!D271)</f>
        <v>0</v>
      </c>
      <c r="K271" s="148" t="e">
        <f>VLOOKUP(G271,'Input keuzevariabelen'!$E$11:$I$80,5,FALSE)</f>
        <v>#N/A</v>
      </c>
      <c r="L271" s="208">
        <f t="shared" si="54"/>
        <v>0</v>
      </c>
      <c r="M271" s="208">
        <f t="shared" si="55"/>
        <v>0</v>
      </c>
      <c r="N271" s="156"/>
      <c r="O271" s="156"/>
      <c r="P271" s="157"/>
    </row>
    <row r="272" spans="3:16" ht="18" thickTop="1" thickBot="1" x14ac:dyDescent="0.25">
      <c r="C272" s="189"/>
      <c r="D272" s="156"/>
      <c r="E272" s="190"/>
      <c r="F272" s="147" t="e">
        <f>VLOOKUP(G272,'Input keuzevariabelen'!$E$11:$I$80,2,FALSE)</f>
        <v>#N/A</v>
      </c>
      <c r="G272" s="156"/>
      <c r="H272" s="209"/>
      <c r="I272" s="148" t="e">
        <f>VLOOKUP(G272,'Input keuzevariabelen'!$E$11:$I$80,3,FALSE)</f>
        <v>#N/A</v>
      </c>
      <c r="J272" s="211">
        <f>SUMIFS('Input keuzevariabelen'!$H$11:$H$80,'Input keuzevariabelen'!$E$11:$E$80,Data!G272,'Input keuzevariabelen'!$J$11:$J$80,Data!D272)</f>
        <v>0</v>
      </c>
      <c r="K272" s="148" t="e">
        <f>VLOOKUP(G272,'Input keuzevariabelen'!$E$11:$I$80,5,FALSE)</f>
        <v>#N/A</v>
      </c>
      <c r="L272" s="208">
        <f t="shared" si="54"/>
        <v>0</v>
      </c>
      <c r="M272" s="208">
        <f t="shared" si="55"/>
        <v>0</v>
      </c>
      <c r="N272" s="156"/>
      <c r="O272" s="156"/>
      <c r="P272" s="157"/>
    </row>
    <row r="273" spans="3:16" ht="18" thickTop="1" thickBot="1" x14ac:dyDescent="0.25">
      <c r="C273" s="189"/>
      <c r="D273" s="156"/>
      <c r="E273" s="190"/>
      <c r="F273" s="147" t="e">
        <f>VLOOKUP(G273,'Input keuzevariabelen'!$E$11:$I$80,2,FALSE)</f>
        <v>#N/A</v>
      </c>
      <c r="G273" s="156"/>
      <c r="H273" s="209"/>
      <c r="I273" s="148" t="e">
        <f>VLOOKUP(G273,'Input keuzevariabelen'!$E$11:$I$80,3,FALSE)</f>
        <v>#N/A</v>
      </c>
      <c r="J273" s="211">
        <f>SUMIFS('Input keuzevariabelen'!$H$11:$H$80,'Input keuzevariabelen'!$E$11:$E$80,Data!G273,'Input keuzevariabelen'!$J$11:$J$80,Data!D273)</f>
        <v>0</v>
      </c>
      <c r="K273" s="148" t="e">
        <f>VLOOKUP(G273,'Input keuzevariabelen'!$E$11:$I$80,5,FALSE)</f>
        <v>#N/A</v>
      </c>
      <c r="L273" s="208">
        <f t="shared" si="54"/>
        <v>0</v>
      </c>
      <c r="M273" s="208">
        <f t="shared" si="55"/>
        <v>0</v>
      </c>
      <c r="N273" s="156"/>
      <c r="O273" s="156"/>
      <c r="P273" s="157"/>
    </row>
    <row r="274" spans="3:16" ht="18" thickTop="1" thickBot="1" x14ac:dyDescent="0.25">
      <c r="C274" s="189"/>
      <c r="D274" s="156"/>
      <c r="E274" s="190"/>
      <c r="F274" s="147" t="e">
        <f>VLOOKUP(G274,'Input keuzevariabelen'!$E$11:$I$80,2,FALSE)</f>
        <v>#N/A</v>
      </c>
      <c r="G274" s="156"/>
      <c r="H274" s="209"/>
      <c r="I274" s="148" t="e">
        <f>VLOOKUP(G274,'Input keuzevariabelen'!$E$11:$I$80,3,FALSE)</f>
        <v>#N/A</v>
      </c>
      <c r="J274" s="211">
        <f>SUMIFS('Input keuzevariabelen'!$H$11:$H$80,'Input keuzevariabelen'!$E$11:$E$80,Data!G274,'Input keuzevariabelen'!$J$11:$J$80,Data!D274)</f>
        <v>0</v>
      </c>
      <c r="K274" s="148" t="e">
        <f>VLOOKUP(G274,'Input keuzevariabelen'!$E$11:$I$80,5,FALSE)</f>
        <v>#N/A</v>
      </c>
      <c r="L274" s="208">
        <f t="shared" si="54"/>
        <v>0</v>
      </c>
      <c r="M274" s="208">
        <f t="shared" si="55"/>
        <v>0</v>
      </c>
      <c r="N274" s="156"/>
      <c r="O274" s="156"/>
      <c r="P274" s="157"/>
    </row>
    <row r="275" spans="3:16" ht="18" thickTop="1" thickBot="1" x14ac:dyDescent="0.25">
      <c r="C275" s="189"/>
      <c r="D275" s="156"/>
      <c r="E275" s="190"/>
      <c r="F275" s="147" t="e">
        <f>VLOOKUP(G275,'Input keuzevariabelen'!$E$11:$I$80,2,FALSE)</f>
        <v>#N/A</v>
      </c>
      <c r="G275" s="156"/>
      <c r="H275" s="209"/>
      <c r="I275" s="148" t="e">
        <f>VLOOKUP(G275,'Input keuzevariabelen'!$E$11:$I$80,3,FALSE)</f>
        <v>#N/A</v>
      </c>
      <c r="J275" s="211">
        <f>SUMIFS('Input keuzevariabelen'!$H$11:$H$80,'Input keuzevariabelen'!$E$11:$E$80,Data!G275,'Input keuzevariabelen'!$J$11:$J$80,Data!D275)</f>
        <v>0</v>
      </c>
      <c r="K275" s="148" t="e">
        <f>VLOOKUP(G275,'Input keuzevariabelen'!$E$11:$I$80,5,FALSE)</f>
        <v>#N/A</v>
      </c>
      <c r="L275" s="208">
        <f t="shared" si="54"/>
        <v>0</v>
      </c>
      <c r="M275" s="208">
        <f t="shared" si="55"/>
        <v>0</v>
      </c>
      <c r="N275" s="156"/>
      <c r="O275" s="156"/>
      <c r="P275" s="157"/>
    </row>
    <row r="276" spans="3:16" ht="18" thickTop="1" thickBot="1" x14ac:dyDescent="0.25">
      <c r="C276" s="189"/>
      <c r="D276" s="156"/>
      <c r="E276" s="190"/>
      <c r="F276" s="147" t="e">
        <f>VLOOKUP(G276,'Input keuzevariabelen'!$E$11:$I$80,2,FALSE)</f>
        <v>#N/A</v>
      </c>
      <c r="G276" s="156"/>
      <c r="H276" s="209"/>
      <c r="I276" s="148" t="e">
        <f>VLOOKUP(G276,'Input keuzevariabelen'!$E$11:$I$80,3,FALSE)</f>
        <v>#N/A</v>
      </c>
      <c r="J276" s="211">
        <f>SUMIFS('Input keuzevariabelen'!$H$11:$H$80,'Input keuzevariabelen'!$E$11:$E$80,Data!G276,'Input keuzevariabelen'!$J$11:$J$80,Data!D276)</f>
        <v>0</v>
      </c>
      <c r="K276" s="148" t="e">
        <f>VLOOKUP(G276,'Input keuzevariabelen'!$E$11:$I$80,5,FALSE)</f>
        <v>#N/A</v>
      </c>
      <c r="L276" s="208">
        <f t="shared" si="54"/>
        <v>0</v>
      </c>
      <c r="M276" s="208">
        <f t="shared" si="55"/>
        <v>0</v>
      </c>
      <c r="N276" s="156"/>
      <c r="O276" s="156"/>
      <c r="P276" s="157"/>
    </row>
    <row r="277" spans="3:16" ht="18" thickTop="1" thickBot="1" x14ac:dyDescent="0.25">
      <c r="C277" s="189"/>
      <c r="D277" s="156"/>
      <c r="E277" s="190"/>
      <c r="F277" s="147" t="e">
        <f>VLOOKUP(G277,'Input keuzevariabelen'!$E$11:$I$80,2,FALSE)</f>
        <v>#N/A</v>
      </c>
      <c r="G277" s="156"/>
      <c r="H277" s="209"/>
      <c r="I277" s="148" t="e">
        <f>VLOOKUP(G277,'Input keuzevariabelen'!$E$11:$I$80,3,FALSE)</f>
        <v>#N/A</v>
      </c>
      <c r="J277" s="211">
        <f>SUMIFS('Input keuzevariabelen'!$H$11:$H$80,'Input keuzevariabelen'!$E$11:$E$80,Data!G277,'Input keuzevariabelen'!$J$11:$J$80,Data!D277)</f>
        <v>0</v>
      </c>
      <c r="K277" s="148" t="e">
        <f>VLOOKUP(G277,'Input keuzevariabelen'!$E$11:$I$80,5,FALSE)</f>
        <v>#N/A</v>
      </c>
      <c r="L277" s="208">
        <f t="shared" si="54"/>
        <v>0</v>
      </c>
      <c r="M277" s="208">
        <f t="shared" si="55"/>
        <v>0</v>
      </c>
      <c r="N277" s="156"/>
      <c r="O277" s="156"/>
      <c r="P277" s="157"/>
    </row>
    <row r="278" spans="3:16" ht="18" thickTop="1" thickBot="1" x14ac:dyDescent="0.25">
      <c r="C278" s="189"/>
      <c r="D278" s="156"/>
      <c r="E278" s="190"/>
      <c r="F278" s="147" t="e">
        <f>VLOOKUP(G278,'Input keuzevariabelen'!$E$11:$I$80,2,FALSE)</f>
        <v>#N/A</v>
      </c>
      <c r="G278" s="156"/>
      <c r="H278" s="209"/>
      <c r="I278" s="148" t="e">
        <f>VLOOKUP(G278,'Input keuzevariabelen'!$E$11:$I$80,3,FALSE)</f>
        <v>#N/A</v>
      </c>
      <c r="J278" s="211">
        <f>SUMIFS('Input keuzevariabelen'!$H$11:$H$80,'Input keuzevariabelen'!$E$11:$E$80,Data!G278,'Input keuzevariabelen'!$J$11:$J$80,Data!D278)</f>
        <v>0</v>
      </c>
      <c r="K278" s="148" t="e">
        <f>VLOOKUP(G278,'Input keuzevariabelen'!$E$11:$I$80,5,FALSE)</f>
        <v>#N/A</v>
      </c>
      <c r="L278" s="208">
        <f t="shared" si="54"/>
        <v>0</v>
      </c>
      <c r="M278" s="208">
        <f t="shared" si="55"/>
        <v>0</v>
      </c>
      <c r="N278" s="156"/>
      <c r="O278" s="156"/>
      <c r="P278" s="157"/>
    </row>
    <row r="279" spans="3:16" ht="18" thickTop="1" thickBot="1" x14ac:dyDescent="0.25">
      <c r="C279" s="189"/>
      <c r="D279" s="156"/>
      <c r="E279" s="190"/>
      <c r="F279" s="147" t="e">
        <f>VLOOKUP(G279,'Input keuzevariabelen'!$E$11:$I$80,2,FALSE)</f>
        <v>#N/A</v>
      </c>
      <c r="G279" s="156"/>
      <c r="H279" s="209"/>
      <c r="I279" s="148" t="e">
        <f>VLOOKUP(G279,'Input keuzevariabelen'!$E$11:$I$80,3,FALSE)</f>
        <v>#N/A</v>
      </c>
      <c r="J279" s="211">
        <f>SUMIFS('Input keuzevariabelen'!$H$11:$H$80,'Input keuzevariabelen'!$E$11:$E$80,Data!G279,'Input keuzevariabelen'!$J$11:$J$80,Data!D279)</f>
        <v>0</v>
      </c>
      <c r="K279" s="148" t="e">
        <f>VLOOKUP(G279,'Input keuzevariabelen'!$E$11:$I$80,5,FALSE)</f>
        <v>#N/A</v>
      </c>
      <c r="L279" s="208">
        <f t="shared" si="54"/>
        <v>0</v>
      </c>
      <c r="M279" s="208">
        <f t="shared" si="55"/>
        <v>0</v>
      </c>
      <c r="N279" s="156"/>
      <c r="O279" s="156"/>
      <c r="P279" s="157"/>
    </row>
    <row r="280" spans="3:16" ht="18" thickTop="1" thickBot="1" x14ac:dyDescent="0.25">
      <c r="C280" s="189"/>
      <c r="D280" s="156"/>
      <c r="E280" s="190"/>
      <c r="F280" s="147" t="e">
        <f>VLOOKUP(G280,'Input keuzevariabelen'!$E$11:$I$80,2,FALSE)</f>
        <v>#N/A</v>
      </c>
      <c r="G280" s="156"/>
      <c r="H280" s="209"/>
      <c r="I280" s="148" t="e">
        <f>VLOOKUP(G280,'Input keuzevariabelen'!$E$11:$I$80,3,FALSE)</f>
        <v>#N/A</v>
      </c>
      <c r="J280" s="211">
        <f>SUMIFS('Input keuzevariabelen'!$H$11:$H$80,'Input keuzevariabelen'!$E$11:$E$80,Data!G280,'Input keuzevariabelen'!$J$11:$J$80,Data!D280)</f>
        <v>0</v>
      </c>
      <c r="K280" s="148" t="e">
        <f>VLOOKUP(G280,'Input keuzevariabelen'!$E$11:$I$80,5,FALSE)</f>
        <v>#N/A</v>
      </c>
      <c r="L280" s="208">
        <f t="shared" si="54"/>
        <v>0</v>
      </c>
      <c r="M280" s="208">
        <f t="shared" si="55"/>
        <v>0</v>
      </c>
      <c r="N280" s="156"/>
      <c r="O280" s="156"/>
      <c r="P280" s="157"/>
    </row>
    <row r="281" spans="3:16" ht="18" thickTop="1" thickBot="1" x14ac:dyDescent="0.25">
      <c r="C281" s="189"/>
      <c r="D281" s="156"/>
      <c r="E281" s="190"/>
      <c r="F281" s="147" t="e">
        <f>VLOOKUP(G281,'Input keuzevariabelen'!$E$11:$I$80,2,FALSE)</f>
        <v>#N/A</v>
      </c>
      <c r="G281" s="156"/>
      <c r="H281" s="209"/>
      <c r="I281" s="148" t="e">
        <f>VLOOKUP(G281,'Input keuzevariabelen'!$E$11:$I$80,3,FALSE)</f>
        <v>#N/A</v>
      </c>
      <c r="J281" s="211">
        <f>SUMIFS('Input keuzevariabelen'!$H$11:$H$80,'Input keuzevariabelen'!$E$11:$E$80,Data!G281,'Input keuzevariabelen'!$J$11:$J$80,Data!D281)</f>
        <v>0</v>
      </c>
      <c r="K281" s="148" t="e">
        <f>VLOOKUP(G281,'Input keuzevariabelen'!$E$11:$I$80,5,FALSE)</f>
        <v>#N/A</v>
      </c>
      <c r="L281" s="208">
        <f t="shared" si="54"/>
        <v>0</v>
      </c>
      <c r="M281" s="208">
        <f t="shared" si="55"/>
        <v>0</v>
      </c>
      <c r="N281" s="156"/>
      <c r="O281" s="156"/>
      <c r="P281" s="157"/>
    </row>
    <row r="282" spans="3:16" ht="18" thickTop="1" thickBot="1" x14ac:dyDescent="0.25">
      <c r="C282" s="189"/>
      <c r="D282" s="156"/>
      <c r="E282" s="190"/>
      <c r="F282" s="147" t="e">
        <f>VLOOKUP(G282,'Input keuzevariabelen'!$E$11:$I$80,2,FALSE)</f>
        <v>#N/A</v>
      </c>
      <c r="G282" s="156"/>
      <c r="H282" s="209"/>
      <c r="I282" s="148" t="e">
        <f>VLOOKUP(G282,'Input keuzevariabelen'!$E$11:$I$80,3,FALSE)</f>
        <v>#N/A</v>
      </c>
      <c r="J282" s="211">
        <f>SUMIFS('Input keuzevariabelen'!$H$11:$H$80,'Input keuzevariabelen'!$E$11:$E$80,Data!G282,'Input keuzevariabelen'!$J$11:$J$80,Data!D282)</f>
        <v>0</v>
      </c>
      <c r="K282" s="148" t="e">
        <f>VLOOKUP(G282,'Input keuzevariabelen'!$E$11:$I$80,5,FALSE)</f>
        <v>#N/A</v>
      </c>
      <c r="L282" s="208">
        <f t="shared" si="54"/>
        <v>0</v>
      </c>
      <c r="M282" s="208">
        <f t="shared" si="55"/>
        <v>0</v>
      </c>
      <c r="N282" s="156"/>
      <c r="O282" s="156"/>
      <c r="P282" s="157"/>
    </row>
    <row r="283" spans="3:16" ht="18" thickTop="1" thickBot="1" x14ac:dyDescent="0.25">
      <c r="C283" s="189"/>
      <c r="D283" s="156"/>
      <c r="E283" s="190"/>
      <c r="F283" s="147" t="e">
        <f>VLOOKUP(G283,'Input keuzevariabelen'!$E$11:$I$80,2,FALSE)</f>
        <v>#N/A</v>
      </c>
      <c r="G283" s="156"/>
      <c r="H283" s="209"/>
      <c r="I283" s="148" t="e">
        <f>VLOOKUP(G283,'Input keuzevariabelen'!$E$11:$I$80,3,FALSE)</f>
        <v>#N/A</v>
      </c>
      <c r="J283" s="211">
        <f>SUMIFS('Input keuzevariabelen'!$H$11:$H$80,'Input keuzevariabelen'!$E$11:$E$80,Data!G283,'Input keuzevariabelen'!$J$11:$J$80,Data!D283)</f>
        <v>0</v>
      </c>
      <c r="K283" s="148" t="e">
        <f>VLOOKUP(G283,'Input keuzevariabelen'!$E$11:$I$80,5,FALSE)</f>
        <v>#N/A</v>
      </c>
      <c r="L283" s="208">
        <f t="shared" si="54"/>
        <v>0</v>
      </c>
      <c r="M283" s="208">
        <f t="shared" si="55"/>
        <v>0</v>
      </c>
      <c r="N283" s="156"/>
      <c r="O283" s="156"/>
      <c r="P283" s="157"/>
    </row>
    <row r="284" spans="3:16" ht="18" thickTop="1" thickBot="1" x14ac:dyDescent="0.25">
      <c r="C284" s="189"/>
      <c r="D284" s="156"/>
      <c r="E284" s="190"/>
      <c r="F284" s="147" t="e">
        <f>VLOOKUP(G284,'Input keuzevariabelen'!$E$11:$I$80,2,FALSE)</f>
        <v>#N/A</v>
      </c>
      <c r="G284" s="156"/>
      <c r="H284" s="209"/>
      <c r="I284" s="148" t="e">
        <f>VLOOKUP(G284,'Input keuzevariabelen'!$E$11:$I$80,3,FALSE)</f>
        <v>#N/A</v>
      </c>
      <c r="J284" s="211">
        <f>SUMIFS('Input keuzevariabelen'!$H$11:$H$80,'Input keuzevariabelen'!$E$11:$E$80,Data!G284,'Input keuzevariabelen'!$J$11:$J$80,Data!D284)</f>
        <v>0</v>
      </c>
      <c r="K284" s="148" t="e">
        <f>VLOOKUP(G284,'Input keuzevariabelen'!$E$11:$I$80,5,FALSE)</f>
        <v>#N/A</v>
      </c>
      <c r="L284" s="208">
        <f t="shared" si="54"/>
        <v>0</v>
      </c>
      <c r="M284" s="208">
        <f t="shared" si="55"/>
        <v>0</v>
      </c>
      <c r="N284" s="156"/>
      <c r="O284" s="156"/>
      <c r="P284" s="157"/>
    </row>
    <row r="285" spans="3:16" ht="18" thickTop="1" thickBot="1" x14ac:dyDescent="0.25">
      <c r="C285" s="189"/>
      <c r="D285" s="156"/>
      <c r="E285" s="190"/>
      <c r="F285" s="147" t="e">
        <f>VLOOKUP(G285,'Input keuzevariabelen'!$E$11:$I$80,2,FALSE)</f>
        <v>#N/A</v>
      </c>
      <c r="G285" s="156"/>
      <c r="H285" s="209"/>
      <c r="I285" s="148" t="e">
        <f>VLOOKUP(G285,'Input keuzevariabelen'!$E$11:$I$80,3,FALSE)</f>
        <v>#N/A</v>
      </c>
      <c r="J285" s="211">
        <f>SUMIFS('Input keuzevariabelen'!$H$11:$H$80,'Input keuzevariabelen'!$E$11:$E$80,Data!G285,'Input keuzevariabelen'!$J$11:$J$80,Data!D285)</f>
        <v>0</v>
      </c>
      <c r="K285" s="148" t="e">
        <f>VLOOKUP(G285,'Input keuzevariabelen'!$E$11:$I$80,5,FALSE)</f>
        <v>#N/A</v>
      </c>
      <c r="L285" s="208">
        <f t="shared" ref="L285:L300" si="56">H285*J285/1000</f>
        <v>0</v>
      </c>
      <c r="M285" s="208">
        <f t="shared" ref="M285:M300" si="57">H285*J285/1000000</f>
        <v>0</v>
      </c>
      <c r="N285" s="156"/>
      <c r="O285" s="156"/>
      <c r="P285" s="157"/>
    </row>
    <row r="286" spans="3:16" ht="18" thickTop="1" thickBot="1" x14ac:dyDescent="0.25">
      <c r="C286" s="189"/>
      <c r="D286" s="156"/>
      <c r="E286" s="190"/>
      <c r="F286" s="147" t="e">
        <f>VLOOKUP(G286,'Input keuzevariabelen'!$E$11:$I$80,2,FALSE)</f>
        <v>#N/A</v>
      </c>
      <c r="G286" s="156"/>
      <c r="H286" s="209"/>
      <c r="I286" s="148" t="e">
        <f>VLOOKUP(G286,'Input keuzevariabelen'!$E$11:$I$80,3,FALSE)</f>
        <v>#N/A</v>
      </c>
      <c r="J286" s="211">
        <f>SUMIFS('Input keuzevariabelen'!$H$11:$H$80,'Input keuzevariabelen'!$E$11:$E$80,Data!G286,'Input keuzevariabelen'!$J$11:$J$80,Data!D286)</f>
        <v>0</v>
      </c>
      <c r="K286" s="148" t="e">
        <f>VLOOKUP(G286,'Input keuzevariabelen'!$E$11:$I$80,5,FALSE)</f>
        <v>#N/A</v>
      </c>
      <c r="L286" s="208">
        <f t="shared" si="56"/>
        <v>0</v>
      </c>
      <c r="M286" s="208">
        <f t="shared" si="57"/>
        <v>0</v>
      </c>
      <c r="N286" s="156"/>
      <c r="O286" s="156"/>
      <c r="P286" s="157"/>
    </row>
    <row r="287" spans="3:16" ht="18" thickTop="1" thickBot="1" x14ac:dyDescent="0.25">
      <c r="C287" s="189"/>
      <c r="D287" s="156"/>
      <c r="E287" s="190"/>
      <c r="F287" s="147" t="e">
        <f>VLOOKUP(G287,'Input keuzevariabelen'!$E$11:$I$80,2,FALSE)</f>
        <v>#N/A</v>
      </c>
      <c r="G287" s="156"/>
      <c r="H287" s="209"/>
      <c r="I287" s="148" t="e">
        <f>VLOOKUP(G287,'Input keuzevariabelen'!$E$11:$I$80,3,FALSE)</f>
        <v>#N/A</v>
      </c>
      <c r="J287" s="211">
        <f>SUMIFS('Input keuzevariabelen'!$H$11:$H$80,'Input keuzevariabelen'!$E$11:$E$80,Data!G287,'Input keuzevariabelen'!$J$11:$J$80,Data!D287)</f>
        <v>0</v>
      </c>
      <c r="K287" s="148" t="e">
        <f>VLOOKUP(G287,'Input keuzevariabelen'!$E$11:$I$80,5,FALSE)</f>
        <v>#N/A</v>
      </c>
      <c r="L287" s="208">
        <f t="shared" si="56"/>
        <v>0</v>
      </c>
      <c r="M287" s="208">
        <f t="shared" si="57"/>
        <v>0</v>
      </c>
      <c r="N287" s="156"/>
      <c r="O287" s="156"/>
      <c r="P287" s="157"/>
    </row>
    <row r="288" spans="3:16" ht="18" thickTop="1" thickBot="1" x14ac:dyDescent="0.25">
      <c r="C288" s="189"/>
      <c r="D288" s="156"/>
      <c r="E288" s="190"/>
      <c r="F288" s="147" t="e">
        <f>VLOOKUP(G288,'Input keuzevariabelen'!$E$11:$I$80,2,FALSE)</f>
        <v>#N/A</v>
      </c>
      <c r="G288" s="156"/>
      <c r="H288" s="209"/>
      <c r="I288" s="148" t="e">
        <f>VLOOKUP(G288,'Input keuzevariabelen'!$E$11:$I$80,3,FALSE)</f>
        <v>#N/A</v>
      </c>
      <c r="J288" s="211">
        <f>SUMIFS('Input keuzevariabelen'!$H$11:$H$80,'Input keuzevariabelen'!$E$11:$E$80,Data!G288,'Input keuzevariabelen'!$J$11:$J$80,Data!D288)</f>
        <v>0</v>
      </c>
      <c r="K288" s="148" t="e">
        <f>VLOOKUP(G288,'Input keuzevariabelen'!$E$11:$I$80,5,FALSE)</f>
        <v>#N/A</v>
      </c>
      <c r="L288" s="208">
        <f t="shared" si="56"/>
        <v>0</v>
      </c>
      <c r="M288" s="208">
        <f t="shared" si="57"/>
        <v>0</v>
      </c>
      <c r="N288" s="156"/>
      <c r="O288" s="156"/>
      <c r="P288" s="157"/>
    </row>
    <row r="289" spans="3:16" ht="18" thickTop="1" thickBot="1" x14ac:dyDescent="0.25">
      <c r="C289" s="189"/>
      <c r="D289" s="156"/>
      <c r="E289" s="190"/>
      <c r="F289" s="147" t="e">
        <f>VLOOKUP(G289,'Input keuzevariabelen'!$E$11:$I$80,2,FALSE)</f>
        <v>#N/A</v>
      </c>
      <c r="G289" s="156"/>
      <c r="H289" s="209"/>
      <c r="I289" s="148" t="e">
        <f>VLOOKUP(G289,'Input keuzevariabelen'!$E$11:$I$80,3,FALSE)</f>
        <v>#N/A</v>
      </c>
      <c r="J289" s="211">
        <f>SUMIFS('Input keuzevariabelen'!$H$11:$H$80,'Input keuzevariabelen'!$E$11:$E$80,Data!G289,'Input keuzevariabelen'!$J$11:$J$80,Data!D289)</f>
        <v>0</v>
      </c>
      <c r="K289" s="148" t="e">
        <f>VLOOKUP(G289,'Input keuzevariabelen'!$E$11:$I$80,5,FALSE)</f>
        <v>#N/A</v>
      </c>
      <c r="L289" s="208">
        <f t="shared" si="56"/>
        <v>0</v>
      </c>
      <c r="M289" s="208">
        <f t="shared" si="57"/>
        <v>0</v>
      </c>
      <c r="N289" s="156"/>
      <c r="O289" s="156"/>
      <c r="P289" s="157"/>
    </row>
    <row r="290" spans="3:16" ht="18" thickTop="1" thickBot="1" x14ac:dyDescent="0.25">
      <c r="C290" s="189"/>
      <c r="D290" s="156"/>
      <c r="E290" s="190"/>
      <c r="F290" s="147" t="e">
        <f>VLOOKUP(G290,'Input keuzevariabelen'!$E$11:$I$80,2,FALSE)</f>
        <v>#N/A</v>
      </c>
      <c r="G290" s="156"/>
      <c r="H290" s="209"/>
      <c r="I290" s="148" t="e">
        <f>VLOOKUP(G290,'Input keuzevariabelen'!$E$11:$I$80,3,FALSE)</f>
        <v>#N/A</v>
      </c>
      <c r="J290" s="211">
        <f>SUMIFS('Input keuzevariabelen'!$H$11:$H$80,'Input keuzevariabelen'!$E$11:$E$80,Data!G290,'Input keuzevariabelen'!$J$11:$J$80,Data!D290)</f>
        <v>0</v>
      </c>
      <c r="K290" s="148" t="e">
        <f>VLOOKUP(G290,'Input keuzevariabelen'!$E$11:$I$80,5,FALSE)</f>
        <v>#N/A</v>
      </c>
      <c r="L290" s="208">
        <f t="shared" si="56"/>
        <v>0</v>
      </c>
      <c r="M290" s="208">
        <f t="shared" si="57"/>
        <v>0</v>
      </c>
      <c r="N290" s="156"/>
      <c r="O290" s="156"/>
      <c r="P290" s="157"/>
    </row>
    <row r="291" spans="3:16" ht="18" thickTop="1" thickBot="1" x14ac:dyDescent="0.25">
      <c r="C291" s="189"/>
      <c r="D291" s="156"/>
      <c r="E291" s="190"/>
      <c r="F291" s="147" t="e">
        <f>VLOOKUP(G291,'Input keuzevariabelen'!$E$11:$I$80,2,FALSE)</f>
        <v>#N/A</v>
      </c>
      <c r="G291" s="156"/>
      <c r="H291" s="209"/>
      <c r="I291" s="148" t="e">
        <f>VLOOKUP(G291,'Input keuzevariabelen'!$E$11:$I$80,3,FALSE)</f>
        <v>#N/A</v>
      </c>
      <c r="J291" s="211">
        <f>SUMIFS('Input keuzevariabelen'!$H$11:$H$80,'Input keuzevariabelen'!$E$11:$E$80,Data!G291,'Input keuzevariabelen'!$J$11:$J$80,Data!D291)</f>
        <v>0</v>
      </c>
      <c r="K291" s="148" t="e">
        <f>VLOOKUP(G291,'Input keuzevariabelen'!$E$11:$I$80,5,FALSE)</f>
        <v>#N/A</v>
      </c>
      <c r="L291" s="208">
        <f t="shared" si="56"/>
        <v>0</v>
      </c>
      <c r="M291" s="208">
        <f t="shared" si="57"/>
        <v>0</v>
      </c>
      <c r="N291" s="156"/>
      <c r="O291" s="156"/>
      <c r="P291" s="157"/>
    </row>
    <row r="292" spans="3:16" ht="18" thickTop="1" thickBot="1" x14ac:dyDescent="0.25">
      <c r="C292" s="189"/>
      <c r="D292" s="156"/>
      <c r="E292" s="190"/>
      <c r="F292" s="147" t="e">
        <f>VLOOKUP(G292,'Input keuzevariabelen'!$E$11:$I$80,2,FALSE)</f>
        <v>#N/A</v>
      </c>
      <c r="G292" s="156"/>
      <c r="H292" s="209"/>
      <c r="I292" s="148" t="e">
        <f>VLOOKUP(G292,'Input keuzevariabelen'!$E$11:$I$80,3,FALSE)</f>
        <v>#N/A</v>
      </c>
      <c r="J292" s="211">
        <f>SUMIFS('Input keuzevariabelen'!$H$11:$H$80,'Input keuzevariabelen'!$E$11:$E$80,Data!G292,'Input keuzevariabelen'!$J$11:$J$80,Data!D292)</f>
        <v>0</v>
      </c>
      <c r="K292" s="148" t="e">
        <f>VLOOKUP(G292,'Input keuzevariabelen'!$E$11:$I$80,5,FALSE)</f>
        <v>#N/A</v>
      </c>
      <c r="L292" s="208">
        <f t="shared" si="56"/>
        <v>0</v>
      </c>
      <c r="M292" s="208">
        <f t="shared" si="57"/>
        <v>0</v>
      </c>
      <c r="N292" s="156"/>
      <c r="O292" s="156"/>
      <c r="P292" s="157"/>
    </row>
    <row r="293" spans="3:16" ht="18" thickTop="1" thickBot="1" x14ac:dyDescent="0.25">
      <c r="C293" s="189"/>
      <c r="D293" s="156"/>
      <c r="E293" s="190"/>
      <c r="F293" s="147" t="e">
        <f>VLOOKUP(G293,'Input keuzevariabelen'!$E$11:$I$80,2,FALSE)</f>
        <v>#N/A</v>
      </c>
      <c r="G293" s="156"/>
      <c r="H293" s="209"/>
      <c r="I293" s="148" t="e">
        <f>VLOOKUP(G293,'Input keuzevariabelen'!$E$11:$I$80,3,FALSE)</f>
        <v>#N/A</v>
      </c>
      <c r="J293" s="211">
        <f>SUMIFS('Input keuzevariabelen'!$H$11:$H$80,'Input keuzevariabelen'!$E$11:$E$80,Data!G293,'Input keuzevariabelen'!$J$11:$J$80,Data!D293)</f>
        <v>0</v>
      </c>
      <c r="K293" s="148" t="e">
        <f>VLOOKUP(G293,'Input keuzevariabelen'!$E$11:$I$80,5,FALSE)</f>
        <v>#N/A</v>
      </c>
      <c r="L293" s="208">
        <f t="shared" si="56"/>
        <v>0</v>
      </c>
      <c r="M293" s="208">
        <f t="shared" si="57"/>
        <v>0</v>
      </c>
      <c r="N293" s="156"/>
      <c r="O293" s="156"/>
      <c r="P293" s="157"/>
    </row>
    <row r="294" spans="3:16" ht="18" thickTop="1" thickBot="1" x14ac:dyDescent="0.25">
      <c r="C294" s="189"/>
      <c r="D294" s="156"/>
      <c r="E294" s="190"/>
      <c r="F294" s="147" t="e">
        <f>VLOOKUP(G294,'Input keuzevariabelen'!$E$11:$I$80,2,FALSE)</f>
        <v>#N/A</v>
      </c>
      <c r="G294" s="156"/>
      <c r="H294" s="209"/>
      <c r="I294" s="148" t="e">
        <f>VLOOKUP(G294,'Input keuzevariabelen'!$E$11:$I$80,3,FALSE)</f>
        <v>#N/A</v>
      </c>
      <c r="J294" s="211">
        <f>SUMIFS('Input keuzevariabelen'!$H$11:$H$80,'Input keuzevariabelen'!$E$11:$E$80,Data!G294,'Input keuzevariabelen'!$J$11:$J$80,Data!D294)</f>
        <v>0</v>
      </c>
      <c r="K294" s="148" t="e">
        <f>VLOOKUP(G294,'Input keuzevariabelen'!$E$11:$I$80,5,FALSE)</f>
        <v>#N/A</v>
      </c>
      <c r="L294" s="208">
        <f t="shared" si="56"/>
        <v>0</v>
      </c>
      <c r="M294" s="208">
        <f t="shared" si="57"/>
        <v>0</v>
      </c>
      <c r="N294" s="156"/>
      <c r="O294" s="156"/>
      <c r="P294" s="157"/>
    </row>
    <row r="295" spans="3:16" ht="18" thickTop="1" thickBot="1" x14ac:dyDescent="0.25">
      <c r="C295" s="189"/>
      <c r="D295" s="156"/>
      <c r="E295" s="190"/>
      <c r="F295" s="147" t="e">
        <f>VLOOKUP(G295,'Input keuzevariabelen'!$E$11:$I$80,2,FALSE)</f>
        <v>#N/A</v>
      </c>
      <c r="G295" s="156"/>
      <c r="H295" s="209"/>
      <c r="I295" s="148" t="e">
        <f>VLOOKUP(G295,'Input keuzevariabelen'!$E$11:$I$80,3,FALSE)</f>
        <v>#N/A</v>
      </c>
      <c r="J295" s="211">
        <f>SUMIFS('Input keuzevariabelen'!$H$11:$H$80,'Input keuzevariabelen'!$E$11:$E$80,Data!G295,'Input keuzevariabelen'!$J$11:$J$80,Data!D295)</f>
        <v>0</v>
      </c>
      <c r="K295" s="148" t="e">
        <f>VLOOKUP(G295,'Input keuzevariabelen'!$E$11:$I$80,5,FALSE)</f>
        <v>#N/A</v>
      </c>
      <c r="L295" s="208">
        <f t="shared" si="56"/>
        <v>0</v>
      </c>
      <c r="M295" s="208">
        <f t="shared" si="57"/>
        <v>0</v>
      </c>
      <c r="N295" s="156"/>
      <c r="O295" s="156"/>
      <c r="P295" s="157"/>
    </row>
    <row r="296" spans="3:16" ht="18" thickTop="1" thickBot="1" x14ac:dyDescent="0.25">
      <c r="C296" s="189"/>
      <c r="D296" s="156"/>
      <c r="E296" s="190"/>
      <c r="F296" s="147" t="e">
        <f>VLOOKUP(G296,'Input keuzevariabelen'!$E$11:$I$80,2,FALSE)</f>
        <v>#N/A</v>
      </c>
      <c r="G296" s="156"/>
      <c r="H296" s="209"/>
      <c r="I296" s="148" t="e">
        <f>VLOOKUP(G296,'Input keuzevariabelen'!$E$11:$I$80,3,FALSE)</f>
        <v>#N/A</v>
      </c>
      <c r="J296" s="211">
        <f>SUMIFS('Input keuzevariabelen'!$H$11:$H$80,'Input keuzevariabelen'!$E$11:$E$80,Data!G296,'Input keuzevariabelen'!$J$11:$J$80,Data!D296)</f>
        <v>0</v>
      </c>
      <c r="K296" s="148" t="e">
        <f>VLOOKUP(G296,'Input keuzevariabelen'!$E$11:$I$80,5,FALSE)</f>
        <v>#N/A</v>
      </c>
      <c r="L296" s="208">
        <f t="shared" si="56"/>
        <v>0</v>
      </c>
      <c r="M296" s="208">
        <f t="shared" si="57"/>
        <v>0</v>
      </c>
      <c r="N296" s="156"/>
      <c r="O296" s="156"/>
      <c r="P296" s="157"/>
    </row>
    <row r="297" spans="3:16" ht="18" thickTop="1" thickBot="1" x14ac:dyDescent="0.25">
      <c r="C297" s="189"/>
      <c r="D297" s="156"/>
      <c r="E297" s="190"/>
      <c r="F297" s="147" t="e">
        <f>VLOOKUP(G297,'Input keuzevariabelen'!$E$11:$I$80,2,FALSE)</f>
        <v>#N/A</v>
      </c>
      <c r="G297" s="156"/>
      <c r="H297" s="209"/>
      <c r="I297" s="148" t="e">
        <f>VLOOKUP(G297,'Input keuzevariabelen'!$E$11:$I$80,3,FALSE)</f>
        <v>#N/A</v>
      </c>
      <c r="J297" s="211">
        <f>SUMIFS('Input keuzevariabelen'!$H$11:$H$80,'Input keuzevariabelen'!$E$11:$E$80,Data!G297,'Input keuzevariabelen'!$J$11:$J$80,Data!D297)</f>
        <v>0</v>
      </c>
      <c r="K297" s="148" t="e">
        <f>VLOOKUP(G297,'Input keuzevariabelen'!$E$11:$I$80,5,FALSE)</f>
        <v>#N/A</v>
      </c>
      <c r="L297" s="208">
        <f t="shared" si="56"/>
        <v>0</v>
      </c>
      <c r="M297" s="208">
        <f t="shared" si="57"/>
        <v>0</v>
      </c>
      <c r="N297" s="156"/>
      <c r="O297" s="156"/>
      <c r="P297" s="157"/>
    </row>
    <row r="298" spans="3:16" ht="18" thickTop="1" thickBot="1" x14ac:dyDescent="0.25">
      <c r="C298" s="189"/>
      <c r="D298" s="156"/>
      <c r="E298" s="190"/>
      <c r="F298" s="147" t="e">
        <f>VLOOKUP(G298,'Input keuzevariabelen'!$E$11:$I$80,2,FALSE)</f>
        <v>#N/A</v>
      </c>
      <c r="G298" s="156"/>
      <c r="H298" s="209"/>
      <c r="I298" s="148" t="e">
        <f>VLOOKUP(G298,'Input keuzevariabelen'!$E$11:$I$80,3,FALSE)</f>
        <v>#N/A</v>
      </c>
      <c r="J298" s="211">
        <f>SUMIFS('Input keuzevariabelen'!$H$11:$H$80,'Input keuzevariabelen'!$E$11:$E$80,Data!G298,'Input keuzevariabelen'!$J$11:$J$80,Data!D298)</f>
        <v>0</v>
      </c>
      <c r="K298" s="148" t="e">
        <f>VLOOKUP(G298,'Input keuzevariabelen'!$E$11:$I$80,5,FALSE)</f>
        <v>#N/A</v>
      </c>
      <c r="L298" s="208">
        <f t="shared" si="56"/>
        <v>0</v>
      </c>
      <c r="M298" s="208">
        <f t="shared" si="57"/>
        <v>0</v>
      </c>
      <c r="N298" s="156"/>
      <c r="O298" s="156"/>
      <c r="P298" s="157"/>
    </row>
    <row r="299" spans="3:16" ht="18" thickTop="1" thickBot="1" x14ac:dyDescent="0.25">
      <c r="C299" s="189"/>
      <c r="D299" s="156"/>
      <c r="E299" s="190"/>
      <c r="F299" s="147" t="e">
        <f>VLOOKUP(G299,'Input keuzevariabelen'!$E$11:$I$80,2,FALSE)</f>
        <v>#N/A</v>
      </c>
      <c r="G299" s="156"/>
      <c r="H299" s="209"/>
      <c r="I299" s="148" t="e">
        <f>VLOOKUP(G299,'Input keuzevariabelen'!$E$11:$I$80,3,FALSE)</f>
        <v>#N/A</v>
      </c>
      <c r="J299" s="211">
        <f>SUMIFS('Input keuzevariabelen'!$H$11:$H$80,'Input keuzevariabelen'!$E$11:$E$80,Data!G299,'Input keuzevariabelen'!$J$11:$J$80,Data!D299)</f>
        <v>0</v>
      </c>
      <c r="K299" s="148" t="e">
        <f>VLOOKUP(G299,'Input keuzevariabelen'!$E$11:$I$80,5,FALSE)</f>
        <v>#N/A</v>
      </c>
      <c r="L299" s="208">
        <f t="shared" si="56"/>
        <v>0</v>
      </c>
      <c r="M299" s="208">
        <f t="shared" si="57"/>
        <v>0</v>
      </c>
      <c r="N299" s="156"/>
      <c r="O299" s="156"/>
      <c r="P299" s="157"/>
    </row>
    <row r="300" spans="3:16" ht="18" thickTop="1" thickBot="1" x14ac:dyDescent="0.25">
      <c r="C300" s="191"/>
      <c r="D300" s="158"/>
      <c r="E300" s="192"/>
      <c r="F300" s="147" t="e">
        <f>VLOOKUP(G300,'Input keuzevariabelen'!$E$11:$I$80,2,FALSE)</f>
        <v>#N/A</v>
      </c>
      <c r="G300" s="158"/>
      <c r="H300" s="210"/>
      <c r="I300" s="148" t="e">
        <f>VLOOKUP(G300,'Input keuzevariabelen'!$E$11:$I$80,3,FALSE)</f>
        <v>#N/A</v>
      </c>
      <c r="J300" s="211">
        <f>SUMIFS('Input keuzevariabelen'!$H$11:$H$80,'Input keuzevariabelen'!$E$11:$E$80,Data!G300,'Input keuzevariabelen'!$J$11:$J$80,Data!D300)</f>
        <v>0</v>
      </c>
      <c r="K300" s="148" t="e">
        <f>VLOOKUP(G300,'Input keuzevariabelen'!$E$11:$I$80,5,FALSE)</f>
        <v>#N/A</v>
      </c>
      <c r="L300" s="212">
        <f t="shared" si="56"/>
        <v>0</v>
      </c>
      <c r="M300" s="212">
        <f t="shared" si="57"/>
        <v>0</v>
      </c>
      <c r="N300" s="158"/>
      <c r="O300" s="158"/>
      <c r="P300" s="159"/>
    </row>
    <row r="301" spans="3:16" ht="17" thickTop="1" x14ac:dyDescent="0.2"/>
    <row r="302" spans="3:16" x14ac:dyDescent="0.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3:16" x14ac:dyDescent="0.2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</sheetData>
  <autoFilter ref="C7:P300" xr:uid="{D1FDDC59-4C53-4BAA-9B17-E6CA00B66D2A}"/>
  <mergeCells count="1">
    <mergeCell ref="C6:P6"/>
  </mergeCells>
  <phoneticPr fontId="9" type="noConversion"/>
  <conditionalFormatting sqref="C183:E300 N183:P300 O20:P23 O120:P123 O74:P77 D29:E29 F37:M37 P24:P25 P90 H136:M137 D145:F147 D149:F163 H149:M163 P41 P72:P73 F103:M104 D164:M165 P164:Q165 O39:P39 E41:M41 O80:P89 P78 F166:M300 N164:P166 B136:B137 C121:C128 F126:M128 F122:G125 I122:M125 H119:H125 F19:M25 E15:E16 O24:O32 E39:M39 E36:E37 O36:P37 G36:M36 F35:F36 E71:F78 H71:M78 G89 D56:G56 G60:G64 G87 G84:G85 C60:C64 C66:C75 G66:G72 H66:M67 D66:D78 E66:F67 B65:M65 B12:D16 F12:M16 F8:M8 B66:B78 C19:D28 B19:B42 E19:E27 B80:B90 H80:M90 D80:F90 C103:E103 P103 N103 D91:D95 E136:F137 D30:D47 B145:B165 H145:M147 J138:J144 D9:D11 B8:B11 D57:F64 H56:M64 B56:B64 P56:P67 F106:M121 B103:B134">
    <cfRule type="containsBlanks" dxfId="285" priority="703">
      <formula>LEN(TRIM(B8))=0</formula>
    </cfRule>
  </conditionalFormatting>
  <conditionalFormatting sqref="P145:P147 O127:P128 P149:P150 O13:P16 O8:P8 O19:P19">
    <cfRule type="containsBlanks" dxfId="284" priority="702">
      <formula>LEN(TRIM(O8))=0</formula>
    </cfRule>
  </conditionalFormatting>
  <conditionalFormatting sqref="P151 O152:P154 N157:N160 P155:P160">
    <cfRule type="containsBlanks" dxfId="283" priority="682">
      <formula>LEN(TRIM(N151))=0</formula>
    </cfRule>
  </conditionalFormatting>
  <conditionalFormatting sqref="P161:P163">
    <cfRule type="containsBlanks" dxfId="282" priority="673">
      <formula>LEN(TRIM(P161))=0</formula>
    </cfRule>
  </conditionalFormatting>
  <conditionalFormatting sqref="C166:E166">
    <cfRule type="containsBlanks" dxfId="281" priority="671">
      <formula>LEN(TRIM(C166))=0</formula>
    </cfRule>
  </conditionalFormatting>
  <conditionalFormatting sqref="C167:E169 N167:P169">
    <cfRule type="containsBlanks" dxfId="280" priority="667">
      <formula>LEN(TRIM(C167))=0</formula>
    </cfRule>
  </conditionalFormatting>
  <conditionalFormatting sqref="C170:E172 C179:E179 C174:E177 N170:P172 N179:P179 N174:P177">
    <cfRule type="containsBlanks" dxfId="279" priority="666">
      <formula>LEN(TRIM(C170))=0</formula>
    </cfRule>
  </conditionalFormatting>
  <conditionalFormatting sqref="C173:E173 C178:E178 N173:P173 N178:P178">
    <cfRule type="containsBlanks" dxfId="278" priority="665">
      <formula>LEN(TRIM(C173))=0</formula>
    </cfRule>
  </conditionalFormatting>
  <conditionalFormatting sqref="C180:E180 N180:P180">
    <cfRule type="containsBlanks" dxfId="277" priority="649">
      <formula>LEN(TRIM(C180))=0</formula>
    </cfRule>
  </conditionalFormatting>
  <conditionalFormatting sqref="C181:E181 N181:P181">
    <cfRule type="containsBlanks" dxfId="276" priority="645">
      <formula>LEN(TRIM(C181))=0</formula>
    </cfRule>
  </conditionalFormatting>
  <conditionalFormatting sqref="C182:E182 N182:P182">
    <cfRule type="containsBlanks" dxfId="275" priority="642">
      <formula>LEN(TRIM(C182))=0</formula>
    </cfRule>
  </conditionalFormatting>
  <conditionalFormatting sqref="P124">
    <cfRule type="containsBlanks" dxfId="274" priority="639">
      <formula>LEN(TRIM(P124))=0</formula>
    </cfRule>
  </conditionalFormatting>
  <conditionalFormatting sqref="O104:P104 C104:E104 D105 C107:C120 N8:N33 D107:E126 O106:P116 C106:E106">
    <cfRule type="containsBlanks" dxfId="273" priority="635">
      <formula>LEN(TRIM(C8))=0</formula>
    </cfRule>
  </conditionalFormatting>
  <conditionalFormatting sqref="P118:P119">
    <cfRule type="containsBlanks" dxfId="272" priority="632">
      <formula>LEN(TRIM(P118))=0</formula>
    </cfRule>
  </conditionalFormatting>
  <conditionalFormatting sqref="O117:P117">
    <cfRule type="containsBlanks" dxfId="271" priority="630">
      <formula>LEN(TRIM(O117))=0</formula>
    </cfRule>
  </conditionalFormatting>
  <conditionalFormatting sqref="P126">
    <cfRule type="containsBlanks" dxfId="270" priority="622">
      <formula>LEN(TRIM(P126))=0</formula>
    </cfRule>
  </conditionalFormatting>
  <conditionalFormatting sqref="P125">
    <cfRule type="containsBlanks" dxfId="269" priority="621">
      <formula>LEN(TRIM(P125))=0</formula>
    </cfRule>
  </conditionalFormatting>
  <conditionalFormatting sqref="D127:E128 E12:E14 D8:E8 D129:D137">
    <cfRule type="containsBlanks" dxfId="268" priority="611">
      <formula>LEN(TRIM(D8))=0</formula>
    </cfRule>
  </conditionalFormatting>
  <conditionalFormatting sqref="O124">
    <cfRule type="containsBlanks" dxfId="267" priority="614">
      <formula>LEN(TRIM(O124))=0</formula>
    </cfRule>
  </conditionalFormatting>
  <conditionalFormatting sqref="C8">
    <cfRule type="containsBlanks" dxfId="266" priority="610">
      <formula>LEN(TRIM(C8))=0</formula>
    </cfRule>
  </conditionalFormatting>
  <conditionalFormatting sqref="O150:O151">
    <cfRule type="containsBlanks" dxfId="265" priority="593">
      <formula>LEN(TRIM(O150))=0</formula>
    </cfRule>
  </conditionalFormatting>
  <conditionalFormatting sqref="O145:O146">
    <cfRule type="containsBlanks" dxfId="264" priority="592">
      <formula>LEN(TRIM(O145))=0</formula>
    </cfRule>
  </conditionalFormatting>
  <conditionalFormatting sqref="O147">
    <cfRule type="containsBlanks" dxfId="263" priority="591">
      <formula>LEN(TRIM(O147))=0</formula>
    </cfRule>
  </conditionalFormatting>
  <conditionalFormatting sqref="O149">
    <cfRule type="containsBlanks" dxfId="262" priority="590">
      <formula>LEN(TRIM(O149))=0</formula>
    </cfRule>
  </conditionalFormatting>
  <conditionalFormatting sqref="O125">
    <cfRule type="containsBlanks" dxfId="261" priority="587">
      <formula>LEN(TRIM(O125))=0</formula>
    </cfRule>
  </conditionalFormatting>
  <conditionalFormatting sqref="O126">
    <cfRule type="containsBlanks" dxfId="260" priority="586">
      <formula>LEN(TRIM(O126))=0</formula>
    </cfRule>
  </conditionalFormatting>
  <conditionalFormatting sqref="O57:O67">
    <cfRule type="containsBlanks" dxfId="259" priority="583">
      <formula>LEN(TRIM(O57))=0</formula>
    </cfRule>
  </conditionalFormatting>
  <conditionalFormatting sqref="O71">
    <cfRule type="containsBlanks" dxfId="258" priority="582">
      <formula>LEN(TRIM(O71))=0</formula>
    </cfRule>
  </conditionalFormatting>
  <conditionalFormatting sqref="F26:M26 F29:M29 P29 F27 P26:P27 H27:M27 G27:G28">
    <cfRule type="containsBlanks" dxfId="257" priority="570">
      <formula>LEN(TRIM(F26))=0</formula>
    </cfRule>
  </conditionalFormatting>
  <conditionalFormatting sqref="C29:C42">
    <cfRule type="containsBlanks" dxfId="256" priority="569">
      <formula>LEN(TRIM(C29))=0</formula>
    </cfRule>
  </conditionalFormatting>
  <conditionalFormatting sqref="E28">
    <cfRule type="containsBlanks" dxfId="255" priority="568">
      <formula>LEN(TRIM(E28))=0</formula>
    </cfRule>
  </conditionalFormatting>
  <conditionalFormatting sqref="F28 P28 H28:M28">
    <cfRule type="containsBlanks" dxfId="254" priority="567">
      <formula>LEN(TRIM(F28))=0</formula>
    </cfRule>
  </conditionalFormatting>
  <conditionalFormatting sqref="E31">
    <cfRule type="containsBlanks" dxfId="253" priority="565">
      <formula>LEN(TRIM(E31))=0</formula>
    </cfRule>
  </conditionalFormatting>
  <conditionalFormatting sqref="F31 P31 H31:M31">
    <cfRule type="containsBlanks" dxfId="252" priority="564">
      <formula>LEN(TRIM(F31))=0</formula>
    </cfRule>
  </conditionalFormatting>
  <conditionalFormatting sqref="E30">
    <cfRule type="containsBlanks" dxfId="251" priority="562">
      <formula>LEN(TRIM(E30))=0</formula>
    </cfRule>
  </conditionalFormatting>
  <conditionalFormatting sqref="F30:M30 P30 G31:G32">
    <cfRule type="containsBlanks" dxfId="250" priority="561">
      <formula>LEN(TRIM(F30))=0</formula>
    </cfRule>
  </conditionalFormatting>
  <conditionalFormatting sqref="C155:C156">
    <cfRule type="containsBlanks" dxfId="249" priority="537">
      <formula>LEN(TRIM(C155))=0</formula>
    </cfRule>
  </conditionalFormatting>
  <conditionalFormatting sqref="C145">
    <cfRule type="containsBlanks" dxfId="248" priority="536">
      <formula>LEN(TRIM(C145))=0</formula>
    </cfRule>
  </conditionalFormatting>
  <conditionalFormatting sqref="C147:C153">
    <cfRule type="containsBlanks" dxfId="247" priority="534">
      <formula>LEN(TRIM(C147))=0</formula>
    </cfRule>
  </conditionalFormatting>
  <conditionalFormatting sqref="C157:C159 C163">
    <cfRule type="containsBlanks" dxfId="246" priority="533">
      <formula>LEN(TRIM(C157))=0</formula>
    </cfRule>
  </conditionalFormatting>
  <conditionalFormatting sqref="C162">
    <cfRule type="containsBlanks" dxfId="245" priority="532">
      <formula>LEN(TRIM(C162))=0</formula>
    </cfRule>
  </conditionalFormatting>
  <conditionalFormatting sqref="C161">
    <cfRule type="containsBlanks" dxfId="244" priority="531">
      <formula>LEN(TRIM(C161))=0</formula>
    </cfRule>
  </conditionalFormatting>
  <conditionalFormatting sqref="C160">
    <cfRule type="containsBlanks" dxfId="243" priority="530">
      <formula>LEN(TRIM(C160))=0</formula>
    </cfRule>
  </conditionalFormatting>
  <conditionalFormatting sqref="G163 G136:G137 G149:G159 G145:G147">
    <cfRule type="containsBlanks" dxfId="242" priority="529">
      <formula>LEN(TRIM(G136))=0</formula>
    </cfRule>
  </conditionalFormatting>
  <conditionalFormatting sqref="G159">
    <cfRule type="containsBlanks" dxfId="241" priority="528">
      <formula>LEN(TRIM(G159))=0</formula>
    </cfRule>
  </conditionalFormatting>
  <conditionalFormatting sqref="G163">
    <cfRule type="containsBlanks" dxfId="240" priority="527">
      <formula>LEN(TRIM(G163))=0</formula>
    </cfRule>
  </conditionalFormatting>
  <conditionalFormatting sqref="G162">
    <cfRule type="containsBlanks" dxfId="239" priority="526">
      <formula>LEN(TRIM(G162))=0</formula>
    </cfRule>
  </conditionalFormatting>
  <conditionalFormatting sqref="G162">
    <cfRule type="containsBlanks" dxfId="238" priority="525">
      <formula>LEN(TRIM(G162))=0</formula>
    </cfRule>
  </conditionalFormatting>
  <conditionalFormatting sqref="G161">
    <cfRule type="containsBlanks" dxfId="237" priority="524">
      <formula>LEN(TRIM(G161))=0</formula>
    </cfRule>
  </conditionalFormatting>
  <conditionalFormatting sqref="G161">
    <cfRule type="containsBlanks" dxfId="236" priority="523">
      <formula>LEN(TRIM(G161))=0</formula>
    </cfRule>
  </conditionalFormatting>
  <conditionalFormatting sqref="G160">
    <cfRule type="containsBlanks" dxfId="235" priority="522">
      <formula>LEN(TRIM(G160))=0</formula>
    </cfRule>
  </conditionalFormatting>
  <conditionalFormatting sqref="G160">
    <cfRule type="containsBlanks" dxfId="234" priority="521">
      <formula>LEN(TRIM(G160))=0</formula>
    </cfRule>
  </conditionalFormatting>
  <conditionalFormatting sqref="N162">
    <cfRule type="containsBlanks" dxfId="233" priority="519">
      <formula>LEN(TRIM(N162))=0</formula>
    </cfRule>
  </conditionalFormatting>
  <conditionalFormatting sqref="N163">
    <cfRule type="containsBlanks" dxfId="232" priority="518">
      <formula>LEN(TRIM(N163))=0</formula>
    </cfRule>
  </conditionalFormatting>
  <conditionalFormatting sqref="N155:N156">
    <cfRule type="containsBlanks" dxfId="231" priority="504">
      <formula>LEN(TRIM(N155))=0</formula>
    </cfRule>
  </conditionalFormatting>
  <conditionalFormatting sqref="C164:C165">
    <cfRule type="containsBlanks" dxfId="230" priority="498">
      <formula>LEN(TRIM(C164))=0</formula>
    </cfRule>
  </conditionalFormatting>
  <conditionalFormatting sqref="E32">
    <cfRule type="containsBlanks" dxfId="229" priority="491">
      <formula>LEN(TRIM(E32))=0</formula>
    </cfRule>
  </conditionalFormatting>
  <conditionalFormatting sqref="P32 F32 H32:M32">
    <cfRule type="containsBlanks" dxfId="228" priority="490">
      <formula>LEN(TRIM(F32))=0</formula>
    </cfRule>
  </conditionalFormatting>
  <conditionalFormatting sqref="O90 O103">
    <cfRule type="containsBlanks" dxfId="227" priority="484">
      <formula>LEN(TRIM(O90))=0</formula>
    </cfRule>
  </conditionalFormatting>
  <conditionalFormatting sqref="O155:O163">
    <cfRule type="containsBlanks" dxfId="226" priority="483">
      <formula>LEN(TRIM(O155))=0</formula>
    </cfRule>
  </conditionalFormatting>
  <conditionalFormatting sqref="H148:M148 D148:F148">
    <cfRule type="containsBlanks" dxfId="225" priority="453">
      <formula>LEN(TRIM(D148))=0</formula>
    </cfRule>
  </conditionalFormatting>
  <conditionalFormatting sqref="P148">
    <cfRule type="containsBlanks" dxfId="224" priority="452">
      <formula>LEN(TRIM(P148))=0</formula>
    </cfRule>
  </conditionalFormatting>
  <conditionalFormatting sqref="O148">
    <cfRule type="containsBlanks" dxfId="223" priority="450">
      <formula>LEN(TRIM(O148))=0</formula>
    </cfRule>
  </conditionalFormatting>
  <conditionalFormatting sqref="G148">
    <cfRule type="containsBlanks" dxfId="222" priority="448">
      <formula>LEN(TRIM(G148))=0</formula>
    </cfRule>
  </conditionalFormatting>
  <conditionalFormatting sqref="N145:N146">
    <cfRule type="containsBlanks" dxfId="221" priority="447">
      <formula>LEN(TRIM(N145))=0</formula>
    </cfRule>
  </conditionalFormatting>
  <conditionalFormatting sqref="N147:N153">
    <cfRule type="containsBlanks" dxfId="220" priority="446">
      <formula>LEN(TRIM(N147))=0</formula>
    </cfRule>
  </conditionalFormatting>
  <conditionalFormatting sqref="N154">
    <cfRule type="containsBlanks" dxfId="219" priority="445">
      <formula>LEN(TRIM(N154))=0</formula>
    </cfRule>
  </conditionalFormatting>
  <conditionalFormatting sqref="O119">
    <cfRule type="containsBlanks" dxfId="218" priority="444">
      <formula>LEN(TRIM(O119))=0</formula>
    </cfRule>
  </conditionalFormatting>
  <conditionalFormatting sqref="O56">
    <cfRule type="containsBlanks" dxfId="217" priority="443">
      <formula>LEN(TRIM(O56))=0</formula>
    </cfRule>
  </conditionalFormatting>
  <conditionalFormatting sqref="O73">
    <cfRule type="containsBlanks" dxfId="216" priority="442">
      <formula>LEN(TRIM(O73))=0</formula>
    </cfRule>
  </conditionalFormatting>
  <conditionalFormatting sqref="E68:F68 P68 H68:M68">
    <cfRule type="containsBlanks" dxfId="215" priority="439">
      <formula>LEN(TRIM(E68))=0</formula>
    </cfRule>
  </conditionalFormatting>
  <conditionalFormatting sqref="O68">
    <cfRule type="containsBlanks" dxfId="214" priority="437">
      <formula>LEN(TRIM(O68))=0</formula>
    </cfRule>
  </conditionalFormatting>
  <conditionalFormatting sqref="E69:F69 H69:M69">
    <cfRule type="containsBlanks" dxfId="213" priority="436">
      <formula>LEN(TRIM(E69))=0</formula>
    </cfRule>
  </conditionalFormatting>
  <conditionalFormatting sqref="E70:F70 H70:M70">
    <cfRule type="containsBlanks" dxfId="212" priority="433">
      <formula>LEN(TRIM(E70))=0</formula>
    </cfRule>
  </conditionalFormatting>
  <conditionalFormatting sqref="O70">
    <cfRule type="containsBlanks" dxfId="211" priority="431">
      <formula>LEN(TRIM(O70))=0</formula>
    </cfRule>
  </conditionalFormatting>
  <conditionalFormatting sqref="P71">
    <cfRule type="containsBlanks" dxfId="210" priority="430">
      <formula>LEN(TRIM(P71))=0</formula>
    </cfRule>
  </conditionalFormatting>
  <conditionalFormatting sqref="P69">
    <cfRule type="containsBlanks" dxfId="209" priority="429">
      <formula>LEN(TRIM(P69))=0</formula>
    </cfRule>
  </conditionalFormatting>
  <conditionalFormatting sqref="P70">
    <cfRule type="containsBlanks" dxfId="208" priority="428">
      <formula>LEN(TRIM(P70))=0</formula>
    </cfRule>
  </conditionalFormatting>
  <conditionalFormatting sqref="N161">
    <cfRule type="containsBlanks" dxfId="207" priority="427">
      <formula>LEN(TRIM(N161))=0</formula>
    </cfRule>
  </conditionalFormatting>
  <conditionalFormatting sqref="F34:M34">
    <cfRule type="containsBlanks" dxfId="206" priority="414">
      <formula>LEN(TRIM(F34))=0</formula>
    </cfRule>
  </conditionalFormatting>
  <conditionalFormatting sqref="P34">
    <cfRule type="containsBlanks" dxfId="205" priority="413">
      <formula>LEN(TRIM(P34))=0</formula>
    </cfRule>
  </conditionalFormatting>
  <conditionalFormatting sqref="E34">
    <cfRule type="containsBlanks" dxfId="204" priority="411">
      <formula>LEN(TRIM(E34))=0</formula>
    </cfRule>
  </conditionalFormatting>
  <conditionalFormatting sqref="F33:M33">
    <cfRule type="containsBlanks" dxfId="203" priority="410">
      <formula>LEN(TRIM(F33))=0</formula>
    </cfRule>
  </conditionalFormatting>
  <conditionalFormatting sqref="O33:Q33">
    <cfRule type="containsBlanks" dxfId="202" priority="409">
      <formula>LEN(TRIM(O33))=0</formula>
    </cfRule>
  </conditionalFormatting>
  <conditionalFormatting sqref="E33">
    <cfRule type="containsBlanks" dxfId="201" priority="407">
      <formula>LEN(TRIM(E33))=0</formula>
    </cfRule>
  </conditionalFormatting>
  <conditionalFormatting sqref="Q34">
    <cfRule type="containsBlanks" dxfId="200" priority="395">
      <formula>LEN(TRIM(Q34))=0</formula>
    </cfRule>
  </conditionalFormatting>
  <conditionalFormatting sqref="P34">
    <cfRule type="containsBlanks" dxfId="199" priority="394">
      <formula>LEN(TRIM(P34))=0</formula>
    </cfRule>
  </conditionalFormatting>
  <conditionalFormatting sqref="O34">
    <cfRule type="containsBlanks" dxfId="198" priority="392">
      <formula>LEN(TRIM(O34))=0</formula>
    </cfRule>
  </conditionalFormatting>
  <conditionalFormatting sqref="F9:M9">
    <cfRule type="containsBlanks" dxfId="197" priority="384">
      <formula>LEN(TRIM(F9))=0</formula>
    </cfRule>
  </conditionalFormatting>
  <conditionalFormatting sqref="O9:P9">
    <cfRule type="containsBlanks" dxfId="196" priority="383">
      <formula>LEN(TRIM(O9))=0</formula>
    </cfRule>
  </conditionalFormatting>
  <conditionalFormatting sqref="E9">
    <cfRule type="containsBlanks" dxfId="195" priority="381">
      <formula>LEN(TRIM(E9))=0</formula>
    </cfRule>
  </conditionalFormatting>
  <conditionalFormatting sqref="C9">
    <cfRule type="containsBlanks" dxfId="194" priority="380">
      <formula>LEN(TRIM(C9))=0</formula>
    </cfRule>
  </conditionalFormatting>
  <conditionalFormatting sqref="O38:P38 E38:M38">
    <cfRule type="containsBlanks" dxfId="193" priority="379">
      <formula>LEN(TRIM(E38))=0</formula>
    </cfRule>
  </conditionalFormatting>
  <conditionalFormatting sqref="F11:M11">
    <cfRule type="containsBlanks" dxfId="192" priority="372">
      <formula>LEN(TRIM(F11))=0</formula>
    </cfRule>
  </conditionalFormatting>
  <conditionalFormatting sqref="O11:P11">
    <cfRule type="containsBlanks" dxfId="191" priority="371">
      <formula>LEN(TRIM(O11))=0</formula>
    </cfRule>
  </conditionalFormatting>
  <conditionalFormatting sqref="E10:E11">
    <cfRule type="containsBlanks" dxfId="190" priority="369">
      <formula>LEN(TRIM(E10))=0</formula>
    </cfRule>
  </conditionalFormatting>
  <conditionalFormatting sqref="C10:C11">
    <cfRule type="containsBlanks" dxfId="189" priority="368">
      <formula>LEN(TRIM(C10))=0</formula>
    </cfRule>
  </conditionalFormatting>
  <conditionalFormatting sqref="F40:M40">
    <cfRule type="containsBlanks" dxfId="188" priority="367">
      <formula>LEN(TRIM(F40))=0</formula>
    </cfRule>
  </conditionalFormatting>
  <conditionalFormatting sqref="O40:P40">
    <cfRule type="containsBlanks" dxfId="187" priority="366">
      <formula>LEN(TRIM(O40))=0</formula>
    </cfRule>
  </conditionalFormatting>
  <conditionalFormatting sqref="E40">
    <cfRule type="containsBlanks" dxfId="186" priority="364">
      <formula>LEN(TRIM(E40))=0</formula>
    </cfRule>
  </conditionalFormatting>
  <conditionalFormatting sqref="F105:M105">
    <cfRule type="containsBlanks" dxfId="185" priority="355">
      <formula>LEN(TRIM(F105))=0</formula>
    </cfRule>
  </conditionalFormatting>
  <conditionalFormatting sqref="O105:P105 C105 E105">
    <cfRule type="containsBlanks" dxfId="184" priority="354">
      <formula>LEN(TRIM(C105))=0</formula>
    </cfRule>
  </conditionalFormatting>
  <conditionalFormatting sqref="P42 E42:M42">
    <cfRule type="containsBlanks" dxfId="183" priority="352">
      <formula>LEN(TRIM(E42))=0</formula>
    </cfRule>
  </conditionalFormatting>
  <conditionalFormatting sqref="O42">
    <cfRule type="containsBlanks" dxfId="182" priority="350">
      <formula>LEN(TRIM(O42))=0</formula>
    </cfRule>
  </conditionalFormatting>
  <conditionalFormatting sqref="C146">
    <cfRule type="containsBlanks" dxfId="181" priority="333">
      <formula>LEN(TRIM(C146))=0</formula>
    </cfRule>
  </conditionalFormatting>
  <conditionalFormatting sqref="O118">
    <cfRule type="containsBlanks" dxfId="180" priority="332">
      <formula>LEN(TRIM(O118))=0</formula>
    </cfRule>
  </conditionalFormatting>
  <conditionalFormatting sqref="O41">
    <cfRule type="containsBlanks" dxfId="179" priority="331">
      <formula>LEN(TRIM(O41))=0</formula>
    </cfRule>
  </conditionalFormatting>
  <conditionalFormatting sqref="O69">
    <cfRule type="containsBlanks" dxfId="178" priority="330">
      <formula>LEN(TRIM(O69))=0</formula>
    </cfRule>
  </conditionalFormatting>
  <conditionalFormatting sqref="O72">
    <cfRule type="containsBlanks" dxfId="177" priority="329">
      <formula>LEN(TRIM(O72))=0</formula>
    </cfRule>
  </conditionalFormatting>
  <conditionalFormatting sqref="O78">
    <cfRule type="containsBlanks" dxfId="176" priority="313">
      <formula>LEN(TRIM(O78))=0</formula>
    </cfRule>
  </conditionalFormatting>
  <conditionalFormatting sqref="C154">
    <cfRule type="containsBlanks" dxfId="175" priority="310">
      <formula>LEN(TRIM(C154))=0</formula>
    </cfRule>
  </conditionalFormatting>
  <conditionalFormatting sqref="H35:M35">
    <cfRule type="containsBlanks" dxfId="174" priority="307">
      <formula>LEN(TRIM(H35))=0</formula>
    </cfRule>
  </conditionalFormatting>
  <conditionalFormatting sqref="P35">
    <cfRule type="containsBlanks" dxfId="173" priority="306">
      <formula>LEN(TRIM(P35))=0</formula>
    </cfRule>
  </conditionalFormatting>
  <conditionalFormatting sqref="E35">
    <cfRule type="containsBlanks" dxfId="172" priority="304">
      <formula>LEN(TRIM(E35))=0</formula>
    </cfRule>
  </conditionalFormatting>
  <conditionalFormatting sqref="G35">
    <cfRule type="containsBlanks" dxfId="171" priority="303">
      <formula>LEN(TRIM(G35))=0</formula>
    </cfRule>
  </conditionalFormatting>
  <conditionalFormatting sqref="Q35">
    <cfRule type="containsBlanks" dxfId="170" priority="301">
      <formula>LEN(TRIM(Q35))=0</formula>
    </cfRule>
  </conditionalFormatting>
  <conditionalFormatting sqref="P35">
    <cfRule type="containsBlanks" dxfId="169" priority="300">
      <formula>LEN(TRIM(P35))=0</formula>
    </cfRule>
  </conditionalFormatting>
  <conditionalFormatting sqref="O35">
    <cfRule type="containsBlanks" dxfId="168" priority="299">
      <formula>LEN(TRIM(O35))=0</formula>
    </cfRule>
  </conditionalFormatting>
  <conditionalFormatting sqref="G73:G76">
    <cfRule type="containsBlanks" dxfId="167" priority="288">
      <formula>LEN(TRIM(G73))=0</formula>
    </cfRule>
  </conditionalFormatting>
  <conditionalFormatting sqref="G77:G78 G80">
    <cfRule type="containsBlanks" dxfId="166" priority="287">
      <formula>LEN(TRIM(G77))=0</formula>
    </cfRule>
  </conditionalFormatting>
  <conditionalFormatting sqref="G82">
    <cfRule type="containsBlanks" dxfId="165" priority="286">
      <formula>LEN(TRIM(G82))=0</formula>
    </cfRule>
  </conditionalFormatting>
  <conditionalFormatting sqref="G81">
    <cfRule type="containsBlanks" dxfId="164" priority="285">
      <formula>LEN(TRIM(G81))=0</formula>
    </cfRule>
  </conditionalFormatting>
  <conditionalFormatting sqref="G57">
    <cfRule type="containsBlanks" dxfId="163" priority="284">
      <formula>LEN(TRIM(G57))=0</formula>
    </cfRule>
  </conditionalFormatting>
  <conditionalFormatting sqref="G86">
    <cfRule type="containsBlanks" dxfId="162" priority="283">
      <formula>LEN(TRIM(G86))=0</formula>
    </cfRule>
  </conditionalFormatting>
  <conditionalFormatting sqref="G58:G59">
    <cfRule type="containsBlanks" dxfId="161" priority="282">
      <formula>LEN(TRIM(G58))=0</formula>
    </cfRule>
  </conditionalFormatting>
  <conditionalFormatting sqref="G88">
    <cfRule type="containsBlanks" dxfId="160" priority="281">
      <formula>LEN(TRIM(G88))=0</formula>
    </cfRule>
  </conditionalFormatting>
  <conditionalFormatting sqref="G90">
    <cfRule type="containsBlanks" dxfId="159" priority="280">
      <formula>LEN(TRIM(G90))=0</formula>
    </cfRule>
  </conditionalFormatting>
  <conditionalFormatting sqref="G83">
    <cfRule type="containsBlanks" dxfId="158" priority="279">
      <formula>LEN(TRIM(G83))=0</formula>
    </cfRule>
  </conditionalFormatting>
  <conditionalFormatting sqref="C56">
    <cfRule type="containsBlanks" dxfId="157" priority="278">
      <formula>LEN(TRIM(C56))=0</formula>
    </cfRule>
  </conditionalFormatting>
  <conditionalFormatting sqref="C76:C78 C80:C90">
    <cfRule type="containsBlanks" dxfId="156" priority="277">
      <formula>LEN(TRIM(C76))=0</formula>
    </cfRule>
  </conditionalFormatting>
  <conditionalFormatting sqref="C57">
    <cfRule type="containsBlanks" dxfId="155" priority="276">
      <formula>LEN(TRIM(C57))=0</formula>
    </cfRule>
  </conditionalFormatting>
  <conditionalFormatting sqref="C58:C59">
    <cfRule type="containsBlanks" dxfId="154" priority="274">
      <formula>LEN(TRIM(C58))=0</formula>
    </cfRule>
  </conditionalFormatting>
  <conditionalFormatting sqref="N56:N81">
    <cfRule type="containsBlanks" dxfId="153" priority="268">
      <formula>LEN(TRIM(N56))=0</formula>
    </cfRule>
  </conditionalFormatting>
  <conditionalFormatting sqref="O12:P12">
    <cfRule type="containsBlanks" dxfId="152" priority="266">
      <formula>LEN(TRIM(O12))=0</formula>
    </cfRule>
  </conditionalFormatting>
  <conditionalFormatting sqref="B135 E135:M135">
    <cfRule type="containsBlanks" dxfId="151" priority="265">
      <formula>LEN(TRIM(B135))=0</formula>
    </cfRule>
  </conditionalFormatting>
  <conditionalFormatting sqref="E134:N134">
    <cfRule type="containsBlanks" dxfId="150" priority="263">
      <formula>LEN(TRIM(E134))=0</formula>
    </cfRule>
  </conditionalFormatting>
  <conditionalFormatting sqref="O134">
    <cfRule type="containsBlanks" dxfId="149" priority="262">
      <formula>LEN(TRIM(O134))=0</formula>
    </cfRule>
  </conditionalFormatting>
  <conditionalFormatting sqref="P133 E133:M133">
    <cfRule type="containsBlanks" dxfId="148" priority="261">
      <formula>LEN(TRIM(E133))=0</formula>
    </cfRule>
  </conditionalFormatting>
  <conditionalFormatting sqref="O133">
    <cfRule type="containsBlanks" dxfId="147" priority="260">
      <formula>LEN(TRIM(O133))=0</formula>
    </cfRule>
  </conditionalFormatting>
  <conditionalFormatting sqref="P132 E132:M132">
    <cfRule type="containsBlanks" dxfId="146" priority="259">
      <formula>LEN(TRIM(E132))=0</formula>
    </cfRule>
  </conditionalFormatting>
  <conditionalFormatting sqref="O132">
    <cfRule type="containsBlanks" dxfId="145" priority="258">
      <formula>LEN(TRIM(O132))=0</formula>
    </cfRule>
  </conditionalFormatting>
  <conditionalFormatting sqref="P131 E131:M131">
    <cfRule type="containsBlanks" dxfId="144" priority="257">
      <formula>LEN(TRIM(E131))=0</formula>
    </cfRule>
  </conditionalFormatting>
  <conditionalFormatting sqref="O131">
    <cfRule type="containsBlanks" dxfId="143" priority="256">
      <formula>LEN(TRIM(O131))=0</formula>
    </cfRule>
  </conditionalFormatting>
  <conditionalFormatting sqref="P130 E130:M130">
    <cfRule type="containsBlanks" dxfId="142" priority="255">
      <formula>LEN(TRIM(E130))=0</formula>
    </cfRule>
  </conditionalFormatting>
  <conditionalFormatting sqref="O130">
    <cfRule type="containsBlanks" dxfId="141" priority="254">
      <formula>LEN(TRIM(O130))=0</formula>
    </cfRule>
  </conditionalFormatting>
  <conditionalFormatting sqref="P129 E129:M129 C129:C137">
    <cfRule type="containsBlanks" dxfId="140" priority="253">
      <formula>LEN(TRIM(C129))=0</formula>
    </cfRule>
  </conditionalFormatting>
  <conditionalFormatting sqref="O129">
    <cfRule type="containsBlanks" dxfId="139" priority="252">
      <formula>LEN(TRIM(O129))=0</formula>
    </cfRule>
  </conditionalFormatting>
  <conditionalFormatting sqref="N104:N133">
    <cfRule type="containsBlanks" dxfId="138" priority="251">
      <formula>LEN(TRIM(N104))=0</formula>
    </cfRule>
  </conditionalFormatting>
  <conditionalFormatting sqref="B17:M17">
    <cfRule type="containsBlanks" dxfId="137" priority="250">
      <formula>LEN(TRIM(B17))=0</formula>
    </cfRule>
  </conditionalFormatting>
  <conditionalFormatting sqref="O17:P17">
    <cfRule type="containsBlanks" dxfId="136" priority="249">
      <formula>LEN(TRIM(O17))=0</formula>
    </cfRule>
  </conditionalFormatting>
  <conditionalFormatting sqref="B18:M18">
    <cfRule type="containsBlanks" dxfId="135" priority="247">
      <formula>LEN(TRIM(B18))=0</formula>
    </cfRule>
  </conditionalFormatting>
  <conditionalFormatting sqref="O18:P18">
    <cfRule type="containsBlanks" dxfId="134" priority="246">
      <formula>LEN(TRIM(O18))=0</formula>
    </cfRule>
  </conditionalFormatting>
  <conditionalFormatting sqref="O79:P79 H79:M79 D79:F79 B79">
    <cfRule type="containsBlanks" dxfId="133" priority="244">
      <formula>LEN(TRIM(B79))=0</formula>
    </cfRule>
  </conditionalFormatting>
  <conditionalFormatting sqref="G79">
    <cfRule type="containsBlanks" dxfId="132" priority="242">
      <formula>LEN(TRIM(G79))=0</formula>
    </cfRule>
  </conditionalFormatting>
  <conditionalFormatting sqref="C79">
    <cfRule type="containsBlanks" dxfId="131" priority="241">
      <formula>LEN(TRIM(C79))=0</formula>
    </cfRule>
  </conditionalFormatting>
  <conditionalFormatting sqref="D55 B55">
    <cfRule type="containsBlanks" dxfId="130" priority="220">
      <formula>LEN(TRIM(B55))=0</formula>
    </cfRule>
  </conditionalFormatting>
  <conditionalFormatting sqref="P55 C55 E55:M55">
    <cfRule type="containsBlanks" dxfId="129" priority="219">
      <formula>LEN(TRIM(C55))=0</formula>
    </cfRule>
  </conditionalFormatting>
  <conditionalFormatting sqref="O55">
    <cfRule type="containsBlanks" dxfId="128" priority="218">
      <formula>LEN(TRIM(O55))=0</formula>
    </cfRule>
  </conditionalFormatting>
  <conditionalFormatting sqref="N55">
    <cfRule type="containsBlanks" dxfId="127" priority="217">
      <formula>LEN(TRIM(N55))=0</formula>
    </cfRule>
  </conditionalFormatting>
  <conditionalFormatting sqref="B93 E93:F93 H93:M93">
    <cfRule type="containsBlanks" dxfId="126" priority="162">
      <formula>LEN(TRIM(B93))=0</formula>
    </cfRule>
  </conditionalFormatting>
  <conditionalFormatting sqref="B92 E92:M92 G93">
    <cfRule type="containsBlanks" dxfId="125" priority="160">
      <formula>LEN(TRIM(B92))=0</formula>
    </cfRule>
  </conditionalFormatting>
  <conditionalFormatting sqref="B91:C91 E91:N91 C92:C93 N92:N93">
    <cfRule type="containsBlanks" dxfId="124" priority="158">
      <formula>LEN(TRIM(B91))=0</formula>
    </cfRule>
  </conditionalFormatting>
  <conditionalFormatting sqref="N135">
    <cfRule type="containsBlanks" dxfId="123" priority="156">
      <formula>LEN(TRIM(N135))=0</formula>
    </cfRule>
  </conditionalFormatting>
  <conditionalFormatting sqref="H43:M47 B43:B47 E43:F47 J48:J54">
    <cfRule type="containsBlanks" dxfId="122" priority="155">
      <formula>LEN(TRIM(B43))=0</formula>
    </cfRule>
  </conditionalFormatting>
  <conditionalFormatting sqref="C46:C47">
    <cfRule type="containsBlanks" dxfId="121" priority="151">
      <formula>LEN(TRIM(C46))=0</formula>
    </cfRule>
  </conditionalFormatting>
  <conditionalFormatting sqref="G43:G47">
    <cfRule type="containsBlanks" dxfId="120" priority="150">
      <formula>LEN(TRIM(G43))=0</formula>
    </cfRule>
  </conditionalFormatting>
  <conditionalFormatting sqref="N46:N47">
    <cfRule type="containsBlanks" dxfId="119" priority="149">
      <formula>LEN(TRIM(N46))=0</formula>
    </cfRule>
  </conditionalFormatting>
  <conditionalFormatting sqref="C43:C45">
    <cfRule type="containsBlanks" dxfId="118" priority="146">
      <formula>LEN(TRIM(C43))=0</formula>
    </cfRule>
  </conditionalFormatting>
  <conditionalFormatting sqref="N43:N45">
    <cfRule type="containsBlanks" dxfId="117" priority="144">
      <formula>LEN(TRIM(N43))=0</formula>
    </cfRule>
  </conditionalFormatting>
  <conditionalFormatting sqref="B95 E95:M95 J96:J102">
    <cfRule type="containsBlanks" dxfId="116" priority="140">
      <formula>LEN(TRIM(B95))=0</formula>
    </cfRule>
  </conditionalFormatting>
  <conditionalFormatting sqref="B94:C94 C95 E94:M94">
    <cfRule type="containsBlanks" dxfId="115" priority="138">
      <formula>LEN(TRIM(B94))=0</formula>
    </cfRule>
  </conditionalFormatting>
  <conditionalFormatting sqref="N94:N95">
    <cfRule type="containsBlanks" dxfId="114" priority="134">
      <formula>LEN(TRIM(N94))=0</formula>
    </cfRule>
  </conditionalFormatting>
  <conditionalFormatting sqref="O136">
    <cfRule type="containsBlanks" dxfId="113" priority="132">
      <formula>LEN(TRIM(O136))=0</formula>
    </cfRule>
  </conditionalFormatting>
  <conditionalFormatting sqref="N136:N137">
    <cfRule type="containsBlanks" dxfId="112" priority="131">
      <formula>LEN(TRIM(N136))=0</formula>
    </cfRule>
  </conditionalFormatting>
  <conditionalFormatting sqref="D51:E51 D48:E49">
    <cfRule type="containsBlanks" dxfId="111" priority="129">
      <formula>LEN(TRIM(D48))=0</formula>
    </cfRule>
  </conditionalFormatting>
  <conditionalFormatting sqref="F48 F51:I51 F49:I49 N49:N50 N53 H48:I48 K48:N48 K49:M49 K51:M51">
    <cfRule type="containsBlanks" dxfId="110" priority="128">
      <formula>LEN(TRIM(F48))=0</formula>
    </cfRule>
  </conditionalFormatting>
  <conditionalFormatting sqref="C48:C49 C51">
    <cfRule type="containsBlanks" dxfId="109" priority="127">
      <formula>LEN(TRIM(C48))=0</formula>
    </cfRule>
  </conditionalFormatting>
  <conditionalFormatting sqref="D50:E50">
    <cfRule type="containsBlanks" dxfId="108" priority="126">
      <formula>LEN(TRIM(D50))=0</formula>
    </cfRule>
  </conditionalFormatting>
  <conditionalFormatting sqref="F50:I50 K50:M50">
    <cfRule type="containsBlanks" dxfId="107" priority="125">
      <formula>LEN(TRIM(F50))=0</formula>
    </cfRule>
  </conditionalFormatting>
  <conditionalFormatting sqref="C50">
    <cfRule type="containsBlanks" dxfId="106" priority="124">
      <formula>LEN(TRIM(C50))=0</formula>
    </cfRule>
  </conditionalFormatting>
  <conditionalFormatting sqref="D53:E53">
    <cfRule type="containsBlanks" dxfId="105" priority="123">
      <formula>LEN(TRIM(D53))=0</formula>
    </cfRule>
  </conditionalFormatting>
  <conditionalFormatting sqref="F53:I53 K53:M53">
    <cfRule type="containsBlanks" dxfId="104" priority="122">
      <formula>LEN(TRIM(F53))=0</formula>
    </cfRule>
  </conditionalFormatting>
  <conditionalFormatting sqref="C53">
    <cfRule type="containsBlanks" dxfId="103" priority="121">
      <formula>LEN(TRIM(C53))=0</formula>
    </cfRule>
  </conditionalFormatting>
  <conditionalFormatting sqref="D52:E52">
    <cfRule type="containsBlanks" dxfId="102" priority="120">
      <formula>LEN(TRIM(D52))=0</formula>
    </cfRule>
  </conditionalFormatting>
  <conditionalFormatting sqref="F52:I52 K52:M52">
    <cfRule type="containsBlanks" dxfId="101" priority="119">
      <formula>LEN(TRIM(F52))=0</formula>
    </cfRule>
  </conditionalFormatting>
  <conditionalFormatting sqref="C52">
    <cfRule type="containsBlanks" dxfId="100" priority="118">
      <formula>LEN(TRIM(C52))=0</formula>
    </cfRule>
  </conditionalFormatting>
  <conditionalFormatting sqref="D54:E54">
    <cfRule type="containsBlanks" dxfId="99" priority="116">
      <formula>LEN(TRIM(D54))=0</formula>
    </cfRule>
  </conditionalFormatting>
  <conditionalFormatting sqref="F54:I54 K54:M54">
    <cfRule type="containsBlanks" dxfId="98" priority="115">
      <formula>LEN(TRIM(F54))=0</formula>
    </cfRule>
  </conditionalFormatting>
  <conditionalFormatting sqref="C54">
    <cfRule type="containsBlanks" dxfId="97" priority="114">
      <formula>LEN(TRIM(C54))=0</formula>
    </cfRule>
  </conditionalFormatting>
  <conditionalFormatting sqref="N51">
    <cfRule type="containsBlanks" dxfId="96" priority="113">
      <formula>LEN(TRIM(N51))=0</formula>
    </cfRule>
  </conditionalFormatting>
  <conditionalFormatting sqref="N52">
    <cfRule type="containsBlanks" dxfId="95" priority="112">
      <formula>LEN(TRIM(N52))=0</formula>
    </cfRule>
  </conditionalFormatting>
  <conditionalFormatting sqref="B48:B54">
    <cfRule type="containsBlanks" dxfId="94" priority="111">
      <formula>LEN(TRIM(B48))=0</formula>
    </cfRule>
  </conditionalFormatting>
  <conditionalFormatting sqref="N54">
    <cfRule type="containsBlanks" dxfId="93" priority="110">
      <formula>LEN(TRIM(N54))=0</formula>
    </cfRule>
  </conditionalFormatting>
  <conditionalFormatting sqref="D96:D98 E96:I97 D102:I102 F98:I98 B96:B102 K102:M102 K96:M98">
    <cfRule type="containsBlanks" dxfId="92" priority="101">
      <formula>LEN(TRIM(B96))=0</formula>
    </cfRule>
  </conditionalFormatting>
  <conditionalFormatting sqref="F102 H102:I102 K102:M102">
    <cfRule type="containsBlanks" dxfId="91" priority="100">
      <formula>LEN(TRIM(F102))=0</formula>
    </cfRule>
  </conditionalFormatting>
  <conditionalFormatting sqref="C96:C98 C102">
    <cfRule type="containsBlanks" dxfId="90" priority="99">
      <formula>LEN(TRIM(C96))=0</formula>
    </cfRule>
  </conditionalFormatting>
  <conditionalFormatting sqref="E98">
    <cfRule type="containsBlanks" dxfId="89" priority="98">
      <formula>LEN(TRIM(E98))=0</formula>
    </cfRule>
  </conditionalFormatting>
  <conditionalFormatting sqref="F98:I98 K98:M98">
    <cfRule type="containsBlanks" dxfId="88" priority="97">
      <formula>LEN(TRIM(F98))=0</formula>
    </cfRule>
  </conditionalFormatting>
  <conditionalFormatting sqref="G102">
    <cfRule type="containsBlanks" dxfId="87" priority="96">
      <formula>LEN(TRIM(G102))=0</formula>
    </cfRule>
  </conditionalFormatting>
  <conditionalFormatting sqref="D101:I101 K101:M101">
    <cfRule type="containsBlanks" dxfId="86" priority="95">
      <formula>LEN(TRIM(D101))=0</formula>
    </cfRule>
  </conditionalFormatting>
  <conditionalFormatting sqref="F101 H101:I101 K101:M101">
    <cfRule type="containsBlanks" dxfId="85" priority="94">
      <formula>LEN(TRIM(F101))=0</formula>
    </cfRule>
  </conditionalFormatting>
  <conditionalFormatting sqref="C101">
    <cfRule type="containsBlanks" dxfId="84" priority="93">
      <formula>LEN(TRIM(C101))=0</formula>
    </cfRule>
  </conditionalFormatting>
  <conditionalFormatting sqref="G101">
    <cfRule type="containsBlanks" dxfId="83" priority="92">
      <formula>LEN(TRIM(G101))=0</formula>
    </cfRule>
  </conditionalFormatting>
  <conditionalFormatting sqref="D100:I100 K100:M100">
    <cfRule type="containsBlanks" dxfId="82" priority="91">
      <formula>LEN(TRIM(D100))=0</formula>
    </cfRule>
  </conditionalFormatting>
  <conditionalFormatting sqref="F100 H100:I100 K100:M100">
    <cfRule type="containsBlanks" dxfId="81" priority="90">
      <formula>LEN(TRIM(F100))=0</formula>
    </cfRule>
  </conditionalFormatting>
  <conditionalFormatting sqref="C100">
    <cfRule type="containsBlanks" dxfId="80" priority="89">
      <formula>LEN(TRIM(C100))=0</formula>
    </cfRule>
  </conditionalFormatting>
  <conditionalFormatting sqref="G100">
    <cfRule type="containsBlanks" dxfId="79" priority="88">
      <formula>LEN(TRIM(G100))=0</formula>
    </cfRule>
  </conditionalFormatting>
  <conditionalFormatting sqref="D99:I99 K99:M99">
    <cfRule type="containsBlanks" dxfId="78" priority="87">
      <formula>LEN(TRIM(D99))=0</formula>
    </cfRule>
  </conditionalFormatting>
  <conditionalFormatting sqref="F99 H99:I99 K99:M99">
    <cfRule type="containsBlanks" dxfId="77" priority="86">
      <formula>LEN(TRIM(F99))=0</formula>
    </cfRule>
  </conditionalFormatting>
  <conditionalFormatting sqref="C99">
    <cfRule type="containsBlanks" dxfId="76" priority="85">
      <formula>LEN(TRIM(C99))=0</formula>
    </cfRule>
  </conditionalFormatting>
  <conditionalFormatting sqref="G99">
    <cfRule type="containsBlanks" dxfId="75" priority="84">
      <formula>LEN(TRIM(G99))=0</formula>
    </cfRule>
  </conditionalFormatting>
  <conditionalFormatting sqref="N96:N98 N101">
    <cfRule type="containsBlanks" dxfId="74" priority="79">
      <formula>LEN(TRIM(N96))=0</formula>
    </cfRule>
  </conditionalFormatting>
  <conditionalFormatting sqref="N99">
    <cfRule type="containsBlanks" dxfId="73" priority="78">
      <formula>LEN(TRIM(N99))=0</formula>
    </cfRule>
  </conditionalFormatting>
  <conditionalFormatting sqref="N100">
    <cfRule type="containsBlanks" dxfId="72" priority="77">
      <formula>LEN(TRIM(N100))=0</formula>
    </cfRule>
  </conditionalFormatting>
  <conditionalFormatting sqref="N102">
    <cfRule type="containsBlanks" dxfId="71" priority="76">
      <formula>LEN(TRIM(N102))=0</formula>
    </cfRule>
  </conditionalFormatting>
  <conditionalFormatting sqref="D138:F144 H138:I144 B138:B144 K138:M144">
    <cfRule type="containsBlanks" dxfId="70" priority="75">
      <formula>LEN(TRIM(B138))=0</formula>
    </cfRule>
  </conditionalFormatting>
  <conditionalFormatting sqref="C138:C140 C144">
    <cfRule type="containsBlanks" dxfId="69" priority="72">
      <formula>LEN(TRIM(C138))=0</formula>
    </cfRule>
  </conditionalFormatting>
  <conditionalFormatting sqref="C143">
    <cfRule type="containsBlanks" dxfId="68" priority="71">
      <formula>LEN(TRIM(C143))=0</formula>
    </cfRule>
  </conditionalFormatting>
  <conditionalFormatting sqref="C142">
    <cfRule type="containsBlanks" dxfId="67" priority="70">
      <formula>LEN(TRIM(C142))=0</formula>
    </cfRule>
  </conditionalFormatting>
  <conditionalFormatting sqref="C141">
    <cfRule type="containsBlanks" dxfId="66" priority="69">
      <formula>LEN(TRIM(C141))=0</formula>
    </cfRule>
  </conditionalFormatting>
  <conditionalFormatting sqref="G144 G139:G140">
    <cfRule type="containsBlanks" dxfId="65" priority="68">
      <formula>LEN(TRIM(G139))=0</formula>
    </cfRule>
  </conditionalFormatting>
  <conditionalFormatting sqref="G140">
    <cfRule type="containsBlanks" dxfId="64" priority="67">
      <formula>LEN(TRIM(G140))=0</formula>
    </cfRule>
  </conditionalFormatting>
  <conditionalFormatting sqref="G144">
    <cfRule type="containsBlanks" dxfId="63" priority="66">
      <formula>LEN(TRIM(G144))=0</formula>
    </cfRule>
  </conditionalFormatting>
  <conditionalFormatting sqref="G143">
    <cfRule type="containsBlanks" dxfId="62" priority="65">
      <formula>LEN(TRIM(G143))=0</formula>
    </cfRule>
  </conditionalFormatting>
  <conditionalFormatting sqref="G143">
    <cfRule type="containsBlanks" dxfId="61" priority="64">
      <formula>LEN(TRIM(G143))=0</formula>
    </cfRule>
  </conditionalFormatting>
  <conditionalFormatting sqref="G142">
    <cfRule type="containsBlanks" dxfId="60" priority="63">
      <formula>LEN(TRIM(G142))=0</formula>
    </cfRule>
  </conditionalFormatting>
  <conditionalFormatting sqref="G142">
    <cfRule type="containsBlanks" dxfId="59" priority="62">
      <formula>LEN(TRIM(G142))=0</formula>
    </cfRule>
  </conditionalFormatting>
  <conditionalFormatting sqref="G141">
    <cfRule type="containsBlanks" dxfId="58" priority="61">
      <formula>LEN(TRIM(G141))=0</formula>
    </cfRule>
  </conditionalFormatting>
  <conditionalFormatting sqref="G141">
    <cfRule type="containsBlanks" dxfId="57" priority="60">
      <formula>LEN(TRIM(G141))=0</formula>
    </cfRule>
  </conditionalFormatting>
  <conditionalFormatting sqref="N138:N140 N143">
    <cfRule type="containsBlanks" dxfId="56" priority="55">
      <formula>LEN(TRIM(N138))=0</formula>
    </cfRule>
  </conditionalFormatting>
  <conditionalFormatting sqref="N141">
    <cfRule type="containsBlanks" dxfId="55" priority="54">
      <formula>LEN(TRIM(N141))=0</formula>
    </cfRule>
  </conditionalFormatting>
  <conditionalFormatting sqref="N142">
    <cfRule type="containsBlanks" dxfId="54" priority="53">
      <formula>LEN(TRIM(N142))=0</formula>
    </cfRule>
  </conditionalFormatting>
  <conditionalFormatting sqref="N144">
    <cfRule type="containsBlanks" dxfId="53" priority="52">
      <formula>LEN(TRIM(N144))=0</formula>
    </cfRule>
  </conditionalFormatting>
  <conditionalFormatting sqref="P135">
    <cfRule type="containsBlanks" dxfId="52" priority="51">
      <formula>LEN(TRIM(P135))=0</formula>
    </cfRule>
  </conditionalFormatting>
  <conditionalFormatting sqref="P134">
    <cfRule type="containsBlanks" dxfId="51" priority="50">
      <formula>LEN(TRIM(P134))=0</formula>
    </cfRule>
  </conditionalFormatting>
  <conditionalFormatting sqref="P136">
    <cfRule type="containsBlanks" dxfId="50" priority="49">
      <formula>LEN(TRIM(P136))=0</formula>
    </cfRule>
  </conditionalFormatting>
  <conditionalFormatting sqref="P137">
    <cfRule type="containsBlanks" dxfId="49" priority="48">
      <formula>LEN(TRIM(P137))=0</formula>
    </cfRule>
  </conditionalFormatting>
  <conditionalFormatting sqref="P138:P144">
    <cfRule type="containsBlanks" dxfId="48" priority="47">
      <formula>LEN(TRIM(P138))=0</formula>
    </cfRule>
  </conditionalFormatting>
  <conditionalFormatting sqref="O135">
    <cfRule type="containsBlanks" dxfId="47" priority="46">
      <formula>LEN(TRIM(O135))=0</formula>
    </cfRule>
  </conditionalFormatting>
  <conditionalFormatting sqref="O137">
    <cfRule type="containsBlanks" dxfId="46" priority="45">
      <formula>LEN(TRIM(O137))=0</formula>
    </cfRule>
  </conditionalFormatting>
  <conditionalFormatting sqref="O92">
    <cfRule type="containsBlanks" dxfId="45" priority="44">
      <formula>LEN(TRIM(O92))=0</formula>
    </cfRule>
  </conditionalFormatting>
  <conditionalFormatting sqref="O94">
    <cfRule type="containsBlanks" dxfId="44" priority="43">
      <formula>LEN(TRIM(O94))=0</formula>
    </cfRule>
  </conditionalFormatting>
  <conditionalFormatting sqref="P93">
    <cfRule type="containsBlanks" dxfId="43" priority="41">
      <formula>LEN(TRIM(P93))=0</formula>
    </cfRule>
  </conditionalFormatting>
  <conditionalFormatting sqref="P94">
    <cfRule type="containsBlanks" dxfId="42" priority="39">
      <formula>LEN(TRIM(P94))=0</formula>
    </cfRule>
  </conditionalFormatting>
  <conditionalFormatting sqref="P95">
    <cfRule type="containsBlanks" dxfId="41" priority="38">
      <formula>LEN(TRIM(P95))=0</formula>
    </cfRule>
  </conditionalFormatting>
  <conditionalFormatting sqref="P96:P102">
    <cfRule type="containsBlanks" dxfId="40" priority="37">
      <formula>LEN(TRIM(P96))=0</formula>
    </cfRule>
  </conditionalFormatting>
  <conditionalFormatting sqref="O93">
    <cfRule type="containsBlanks" dxfId="39" priority="36">
      <formula>LEN(TRIM(O93))=0</formula>
    </cfRule>
  </conditionalFormatting>
  <conditionalFormatting sqref="O95">
    <cfRule type="containsBlanks" dxfId="38" priority="35">
      <formula>LEN(TRIM(O95))=0</formula>
    </cfRule>
  </conditionalFormatting>
  <conditionalFormatting sqref="P92">
    <cfRule type="containsBlanks" dxfId="37" priority="34">
      <formula>LEN(TRIM(P92))=0</formula>
    </cfRule>
  </conditionalFormatting>
  <conditionalFormatting sqref="P91">
    <cfRule type="containsBlanks" dxfId="36" priority="33">
      <formula>LEN(TRIM(P91))=0</formula>
    </cfRule>
  </conditionalFormatting>
  <conditionalFormatting sqref="O91">
    <cfRule type="containsBlanks" dxfId="35" priority="32">
      <formula>LEN(TRIM(O91))=0</formula>
    </cfRule>
  </conditionalFormatting>
  <conditionalFormatting sqref="O44">
    <cfRule type="containsBlanks" dxfId="34" priority="31">
      <formula>LEN(TRIM(O44))=0</formula>
    </cfRule>
  </conditionalFormatting>
  <conditionalFormatting sqref="O46">
    <cfRule type="containsBlanks" dxfId="33" priority="30">
      <formula>LEN(TRIM(O46))=0</formula>
    </cfRule>
  </conditionalFormatting>
  <conditionalFormatting sqref="O48:O54">
    <cfRule type="containsBlanks" dxfId="32" priority="29">
      <formula>LEN(TRIM(O48))=0</formula>
    </cfRule>
  </conditionalFormatting>
  <conditionalFormatting sqref="P45">
    <cfRule type="containsBlanks" dxfId="31" priority="28">
      <formula>LEN(TRIM(P45))=0</formula>
    </cfRule>
  </conditionalFormatting>
  <conditionalFormatting sqref="P46">
    <cfRule type="containsBlanks" dxfId="30" priority="27">
      <formula>LEN(TRIM(P46))=0</formula>
    </cfRule>
  </conditionalFormatting>
  <conditionalFormatting sqref="P47">
    <cfRule type="containsBlanks" dxfId="29" priority="26">
      <formula>LEN(TRIM(P47))=0</formula>
    </cfRule>
  </conditionalFormatting>
  <conditionalFormatting sqref="P48:P54">
    <cfRule type="containsBlanks" dxfId="28" priority="25">
      <formula>LEN(TRIM(P48))=0</formula>
    </cfRule>
  </conditionalFormatting>
  <conditionalFormatting sqref="O45">
    <cfRule type="containsBlanks" dxfId="27" priority="24">
      <formula>LEN(TRIM(O45))=0</formula>
    </cfRule>
  </conditionalFormatting>
  <conditionalFormatting sqref="O47">
    <cfRule type="containsBlanks" dxfId="26" priority="23">
      <formula>LEN(TRIM(O47))=0</formula>
    </cfRule>
  </conditionalFormatting>
  <conditionalFormatting sqref="P44">
    <cfRule type="containsBlanks" dxfId="25" priority="22">
      <formula>LEN(TRIM(P44))=0</formula>
    </cfRule>
  </conditionalFormatting>
  <conditionalFormatting sqref="P43">
    <cfRule type="containsBlanks" dxfId="24" priority="21">
      <formula>LEN(TRIM(P43))=0</formula>
    </cfRule>
  </conditionalFormatting>
  <conditionalFormatting sqref="O43">
    <cfRule type="containsBlanks" dxfId="23" priority="20">
      <formula>LEN(TRIM(O43))=0</formula>
    </cfRule>
  </conditionalFormatting>
  <conditionalFormatting sqref="O96:O102">
    <cfRule type="containsBlanks" dxfId="22" priority="19">
      <formula>LEN(TRIM(O96))=0</formula>
    </cfRule>
  </conditionalFormatting>
  <conditionalFormatting sqref="O138:O144">
    <cfRule type="containsBlanks" dxfId="21" priority="18">
      <formula>LEN(TRIM(O138))=0</formula>
    </cfRule>
  </conditionalFormatting>
  <conditionalFormatting sqref="G48">
    <cfRule type="containsBlanks" dxfId="20" priority="15">
      <formula>LEN(TRIM(G48))=0</formula>
    </cfRule>
  </conditionalFormatting>
  <conditionalFormatting sqref="G138">
    <cfRule type="containsBlanks" dxfId="19" priority="14">
      <formula>LEN(TRIM(G138))=0</formula>
    </cfRule>
  </conditionalFormatting>
  <conditionalFormatting sqref="N34:N42">
    <cfRule type="containsBlanks" dxfId="18" priority="11">
      <formula>LEN(TRIM(N34))=0</formula>
    </cfRule>
  </conditionalFormatting>
  <conditionalFormatting sqref="N82:N90">
    <cfRule type="containsBlanks" dxfId="17" priority="3">
      <formula>LEN(TRIM(N82))=0</formula>
    </cfRule>
  </conditionalFormatting>
  <conditionalFormatting sqref="F10:M10">
    <cfRule type="containsBlanks" dxfId="16" priority="2">
      <formula>LEN(TRIM(F10))=0</formula>
    </cfRule>
  </conditionalFormatting>
  <conditionalFormatting sqref="O10:P10">
    <cfRule type="containsBlanks" dxfId="15" priority="1">
      <formula>LEN(TRIM(O10))=0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EDA6948-714B-429B-A935-E2011E63EF1F}">
          <x14:formula1>
            <xm:f>'Input keuzevariabelen'!$B$11:$B$16</xm:f>
          </x14:formula1>
          <xm:sqref>C166:C300 B155:B165 C155:C163 B103 B135:C135 C136:C137 C108:C134 C8:C47 C55:C95 B91:B95 C145:C153 C103:C105</xm:sqref>
        </x14:dataValidation>
        <x14:dataValidation type="list" allowBlank="1" showInputMessage="1" showErrorMessage="1" xr:uid="{6F783688-98EB-B64D-B407-3FEA98780E29}">
          <x14:formula1>
            <xm:f>'Input keuzevariabelen'!$B$11:$B$17</xm:f>
          </x14:formula1>
          <xm:sqref>C164:C165 C154 C106:C107</xm:sqref>
        </x14:dataValidation>
        <x14:dataValidation type="list" allowBlank="1" showInputMessage="1" showErrorMessage="1" xr:uid="{A70F2F54-70DB-A14A-8E76-CD2BE7D3A292}">
          <x14:formula1>
            <xm:f>'Input keuzevariabelen'!$E$38:$E$59</xm:f>
          </x14:formula1>
          <xm:sqref>G159:G163</xm:sqref>
        </x14:dataValidation>
        <x14:dataValidation type="list" allowBlank="1" showInputMessage="1" showErrorMessage="1" xr:uid="{0F503DCA-A269-854C-877D-D193D7BF759F}">
          <x14:formula1>
            <xm:f>'Input keuzevariabelen'!$E$64</xm:f>
          </x14:formula1>
          <xm:sqref>G149</xm:sqref>
        </x14:dataValidation>
        <x14:dataValidation type="list" allowBlank="1" showInputMessage="1" showErrorMessage="1" xr:uid="{F3887128-071C-2142-8FEC-6AED8BB21FC1}">
          <x14:formula1>
            <xm:f>'Input keuzevariabelen'!$B$18</xm:f>
          </x14:formula1>
          <xm:sqref>B43:B47 B136:B137 B145:B154</xm:sqref>
        </x14:dataValidation>
        <x14:dataValidation type="list" allowBlank="1" showInputMessage="1" showErrorMessage="1" xr:uid="{899B75AB-04B1-1E4E-B39B-FE613AE01407}">
          <x14:formula1>
            <xm:f>'Input keuzevariabelen'!$B$17</xm:f>
          </x14:formula1>
          <xm:sqref>B55:B90 B8:B42 B104:B134</xm:sqref>
        </x14:dataValidation>
        <x14:dataValidation type="list" allowBlank="1" showInputMessage="1" showErrorMessage="1" xr:uid="{303C3EEB-2F47-4B4D-93FD-DB63F7CB063D}">
          <x14:formula1>
            <xm:f>'Input keuzevariabelen'!$C$11:$C$17</xm:f>
          </x14:formula1>
          <xm:sqref>D8:D47 D55:D95 D145:D300 D103:D137</xm:sqref>
        </x14:dataValidation>
        <x14:dataValidation type="list" allowBlank="1" showInputMessage="1" showErrorMessage="1" xr:uid="{C558C1F0-EB1E-4E2B-AFD0-58C0B289B876}">
          <x14:formula1>
            <xm:f>'Input keuzevariabelen'!$D$11:$D$12</xm:f>
          </x14:formula1>
          <xm:sqref>E8:E47 E55:E95 E145:E300 E103:E137</xm:sqref>
        </x14:dataValidation>
        <x14:dataValidation type="list" allowBlank="1" showInputMessage="1" showErrorMessage="1" xr:uid="{328292F0-D400-4BC3-8915-8D6C70EF9EFE}">
          <x14:formula1>
            <xm:f>'Input keuzevariabelen'!$E$11:$E$37</xm:f>
          </x14:formula1>
          <xm:sqref>G150:G300 G8:G48 G145:G148 G55:G95 G103:G138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5"/>
  <sheetViews>
    <sheetView zoomScale="86" workbookViewId="0">
      <selection activeCell="E32" sqref="E32"/>
    </sheetView>
  </sheetViews>
  <sheetFormatPr baseColWidth="10" defaultColWidth="12.5" defaultRowHeight="15" customHeight="1" x14ac:dyDescent="0.2"/>
  <cols>
    <col min="1" max="1" width="14.83203125" style="13" customWidth="1"/>
    <col min="2" max="2" width="34.5" style="13" customWidth="1"/>
    <col min="3" max="3" width="19" style="13" customWidth="1"/>
    <col min="4" max="4" width="21.5" style="13" bestFit="1" customWidth="1"/>
    <col min="5" max="5" width="46.5" style="13" bestFit="1" customWidth="1"/>
    <col min="6" max="6" width="10" style="13" bestFit="1" customWidth="1"/>
    <col min="7" max="7" width="11.33203125" style="13" bestFit="1" customWidth="1"/>
    <col min="8" max="8" width="20" style="13" bestFit="1" customWidth="1"/>
    <col min="9" max="9" width="17" style="13" bestFit="1" customWidth="1"/>
    <col min="10" max="26" width="7.5" style="13" customWidth="1"/>
    <col min="27" max="16384" width="12.5" style="13"/>
  </cols>
  <sheetData>
    <row r="1" spans="1:26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5"/>
      <c r="B3" s="5"/>
      <c r="C3" s="167" t="s">
        <v>68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 thickBot="1" x14ac:dyDescent="0.25">
      <c r="A9" s="5"/>
      <c r="B9" s="378" t="s">
        <v>64</v>
      </c>
      <c r="C9" s="379"/>
      <c r="D9" s="379"/>
      <c r="E9" s="379"/>
      <c r="F9" s="379"/>
      <c r="G9" s="379"/>
      <c r="H9" s="379"/>
      <c r="I9" s="379"/>
      <c r="J9" s="379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thickTop="1" thickBot="1" x14ac:dyDescent="0.25">
      <c r="A10" s="5"/>
      <c r="B10" s="160" t="s">
        <v>69</v>
      </c>
      <c r="C10" s="161" t="s">
        <v>70</v>
      </c>
      <c r="D10" s="161" t="s">
        <v>55</v>
      </c>
      <c r="E10" s="161" t="s">
        <v>56</v>
      </c>
      <c r="F10" s="162" t="s">
        <v>71</v>
      </c>
      <c r="G10" s="161" t="s">
        <v>40</v>
      </c>
      <c r="H10" s="161" t="s">
        <v>58</v>
      </c>
      <c r="I10" s="163" t="s">
        <v>40</v>
      </c>
      <c r="J10" s="163" t="s">
        <v>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thickTop="1" thickBot="1" x14ac:dyDescent="0.25">
      <c r="A11" s="5"/>
      <c r="B11" s="176" t="s">
        <v>125</v>
      </c>
      <c r="C11" s="134">
        <v>2019</v>
      </c>
      <c r="D11" s="134" t="s">
        <v>20</v>
      </c>
      <c r="E11" s="201" t="s">
        <v>5</v>
      </c>
      <c r="F11" s="201">
        <v>1</v>
      </c>
      <c r="G11" s="201" t="s">
        <v>23</v>
      </c>
      <c r="H11" s="201">
        <v>1890</v>
      </c>
      <c r="I11" s="202" t="s">
        <v>24</v>
      </c>
      <c r="J11" s="181">
        <v>2019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thickBot="1" x14ac:dyDescent="0.25">
      <c r="A12" s="5"/>
      <c r="B12" s="152" t="s">
        <v>117</v>
      </c>
      <c r="C12" s="130">
        <f>C11+1</f>
        <v>2020</v>
      </c>
      <c r="D12" s="130" t="s">
        <v>16</v>
      </c>
      <c r="E12" s="130" t="s">
        <v>81</v>
      </c>
      <c r="F12" s="130">
        <v>1</v>
      </c>
      <c r="G12" s="130" t="s">
        <v>6</v>
      </c>
      <c r="H12" s="130">
        <v>3309</v>
      </c>
      <c r="I12" s="136" t="s">
        <v>25</v>
      </c>
      <c r="J12" s="155">
        <v>2019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thickBot="1" x14ac:dyDescent="0.25">
      <c r="A13" s="5"/>
      <c r="B13" s="155" t="s">
        <v>126</v>
      </c>
      <c r="C13" s="130">
        <f t="shared" ref="C13:C17" si="0">C12+1</f>
        <v>2021</v>
      </c>
      <c r="D13" s="145"/>
      <c r="E13" s="130" t="s">
        <v>82</v>
      </c>
      <c r="F13" s="130">
        <v>1</v>
      </c>
      <c r="G13" s="130" t="s">
        <v>6</v>
      </c>
      <c r="H13" s="130">
        <v>2884</v>
      </c>
      <c r="I13" s="136" t="s">
        <v>25</v>
      </c>
      <c r="J13" s="182">
        <v>2019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thickBot="1" x14ac:dyDescent="0.25">
      <c r="A14" s="5"/>
      <c r="B14" s="155" t="s">
        <v>111</v>
      </c>
      <c r="C14" s="130">
        <f t="shared" si="0"/>
        <v>2022</v>
      </c>
      <c r="D14" s="145"/>
      <c r="E14" s="130" t="s">
        <v>83</v>
      </c>
      <c r="F14" s="130">
        <v>1</v>
      </c>
      <c r="G14" s="130" t="s">
        <v>106</v>
      </c>
      <c r="H14" s="130">
        <v>2728</v>
      </c>
      <c r="I14" s="136" t="s">
        <v>107</v>
      </c>
      <c r="J14" s="155">
        <v>2019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thickBot="1" x14ac:dyDescent="0.25">
      <c r="A15" s="5"/>
      <c r="B15" s="152" t="s">
        <v>112</v>
      </c>
      <c r="C15" s="130">
        <f t="shared" si="0"/>
        <v>2023</v>
      </c>
      <c r="D15" s="145"/>
      <c r="E15" s="130" t="s">
        <v>105</v>
      </c>
      <c r="F15" s="130">
        <v>1</v>
      </c>
      <c r="G15" s="130" t="s">
        <v>10</v>
      </c>
      <c r="H15" s="130">
        <v>107</v>
      </c>
      <c r="I15" s="136" t="s">
        <v>27</v>
      </c>
      <c r="J15" s="155">
        <v>2019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thickBot="1" x14ac:dyDescent="0.25">
      <c r="A16" s="5"/>
      <c r="B16" s="152" t="s">
        <v>101</v>
      </c>
      <c r="C16" s="130">
        <f t="shared" si="0"/>
        <v>2024</v>
      </c>
      <c r="D16" s="145"/>
      <c r="E16" s="130" t="s">
        <v>73</v>
      </c>
      <c r="F16" s="130">
        <v>1</v>
      </c>
      <c r="G16" s="130" t="s">
        <v>6</v>
      </c>
      <c r="H16" s="130">
        <v>260</v>
      </c>
      <c r="I16" s="136" t="s">
        <v>25</v>
      </c>
      <c r="J16" s="182">
        <v>2019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thickBot="1" x14ac:dyDescent="0.25">
      <c r="A17" s="5"/>
      <c r="B17" s="155" t="s">
        <v>127</v>
      </c>
      <c r="C17" s="130">
        <f t="shared" si="0"/>
        <v>2025</v>
      </c>
      <c r="D17" s="145"/>
      <c r="E17" s="130" t="s">
        <v>92</v>
      </c>
      <c r="F17" s="130">
        <v>1</v>
      </c>
      <c r="G17" s="130" t="s">
        <v>23</v>
      </c>
      <c r="H17" s="130">
        <f>((65%*680)*25)</f>
        <v>11050</v>
      </c>
      <c r="I17" s="136" t="s">
        <v>24</v>
      </c>
      <c r="J17" s="182">
        <v>2019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thickBot="1" x14ac:dyDescent="0.25">
      <c r="A18" s="5"/>
      <c r="B18" s="155" t="s">
        <v>162</v>
      </c>
      <c r="C18" s="145"/>
      <c r="D18" s="145"/>
      <c r="E18" s="130" t="s">
        <v>29</v>
      </c>
      <c r="F18" s="130">
        <v>2</v>
      </c>
      <c r="G18" s="130" t="s">
        <v>9</v>
      </c>
      <c r="H18" s="130">
        <v>649</v>
      </c>
      <c r="I18" s="136" t="s">
        <v>26</v>
      </c>
      <c r="J18" s="155">
        <v>2019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thickBot="1" x14ac:dyDescent="0.25">
      <c r="A19" s="5"/>
      <c r="B19" s="165"/>
      <c r="C19" s="145"/>
      <c r="D19" s="145"/>
      <c r="E19" s="130" t="s">
        <v>28</v>
      </c>
      <c r="F19" s="130">
        <v>2</v>
      </c>
      <c r="G19" s="130" t="s">
        <v>9</v>
      </c>
      <c r="H19" s="130">
        <v>0</v>
      </c>
      <c r="I19" s="136" t="s">
        <v>26</v>
      </c>
      <c r="J19" s="182">
        <v>2019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thickBot="1" x14ac:dyDescent="0.25">
      <c r="A20" s="12"/>
      <c r="B20" s="165"/>
      <c r="C20" s="145"/>
      <c r="D20" s="145"/>
      <c r="E20" s="130" t="s">
        <v>97</v>
      </c>
      <c r="F20" s="130">
        <v>2</v>
      </c>
      <c r="G20" s="130" t="s">
        <v>9</v>
      </c>
      <c r="H20" s="130">
        <v>649</v>
      </c>
      <c r="I20" s="136" t="s">
        <v>26</v>
      </c>
      <c r="J20" s="155">
        <v>2019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4.25" customHeight="1" thickBot="1" x14ac:dyDescent="0.25">
      <c r="A21" s="5"/>
      <c r="B21" s="165"/>
      <c r="C21" s="145"/>
      <c r="D21" s="145"/>
      <c r="E21" s="130" t="s">
        <v>102</v>
      </c>
      <c r="F21" s="130">
        <v>2</v>
      </c>
      <c r="G21" s="130" t="s">
        <v>103</v>
      </c>
      <c r="H21" s="130">
        <v>35970</v>
      </c>
      <c r="I21" s="136" t="s">
        <v>104</v>
      </c>
      <c r="J21" s="155">
        <v>2019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thickBot="1" x14ac:dyDescent="0.25">
      <c r="A22" s="5"/>
      <c r="B22" s="165"/>
      <c r="C22" s="145"/>
      <c r="D22" s="145"/>
      <c r="E22" s="130" t="s">
        <v>12</v>
      </c>
      <c r="F22" s="164" t="s">
        <v>31</v>
      </c>
      <c r="G22" s="130" t="s">
        <v>10</v>
      </c>
      <c r="H22" s="130">
        <v>220</v>
      </c>
      <c r="I22" s="136" t="s">
        <v>27</v>
      </c>
      <c r="J22" s="155">
        <v>2019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thickBot="1" x14ac:dyDescent="0.25">
      <c r="A23" s="12"/>
      <c r="B23" s="165"/>
      <c r="C23" s="145"/>
      <c r="D23" s="145"/>
      <c r="E23" s="130" t="s">
        <v>77</v>
      </c>
      <c r="F23" s="164" t="s">
        <v>31</v>
      </c>
      <c r="G23" s="130" t="s">
        <v>10</v>
      </c>
      <c r="H23" s="130">
        <v>36</v>
      </c>
      <c r="I23" s="136" t="s">
        <v>27</v>
      </c>
      <c r="J23" s="182">
        <v>2019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4.25" customHeight="1" thickBot="1" x14ac:dyDescent="0.25">
      <c r="A24" s="12"/>
      <c r="B24" s="165"/>
      <c r="C24" s="145"/>
      <c r="D24" s="145"/>
      <c r="E24" s="130" t="s">
        <v>98</v>
      </c>
      <c r="F24" s="164" t="s">
        <v>31</v>
      </c>
      <c r="G24" s="130" t="s">
        <v>10</v>
      </c>
      <c r="H24" s="130">
        <v>6</v>
      </c>
      <c r="I24" s="136" t="s">
        <v>27</v>
      </c>
      <c r="J24" s="155">
        <v>2019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4.25" customHeight="1" thickBot="1" x14ac:dyDescent="0.25">
      <c r="A25" s="12"/>
      <c r="B25" s="165"/>
      <c r="C25" s="145"/>
      <c r="D25" s="145"/>
      <c r="E25" s="130" t="s">
        <v>74</v>
      </c>
      <c r="F25" s="164" t="s">
        <v>31</v>
      </c>
      <c r="G25" s="130" t="s">
        <v>10</v>
      </c>
      <c r="H25" s="130">
        <v>297</v>
      </c>
      <c r="I25" s="136" t="s">
        <v>27</v>
      </c>
      <c r="J25" s="155">
        <v>2019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4.25" customHeight="1" thickBot="1" x14ac:dyDescent="0.25">
      <c r="A26" s="5"/>
      <c r="B26" s="165"/>
      <c r="C26" s="145"/>
      <c r="D26" s="145"/>
      <c r="E26" s="130" t="s">
        <v>75</v>
      </c>
      <c r="F26" s="164" t="s">
        <v>31</v>
      </c>
      <c r="G26" s="130" t="s">
        <v>10</v>
      </c>
      <c r="H26" s="130">
        <v>200</v>
      </c>
      <c r="I26" s="136" t="s">
        <v>27</v>
      </c>
      <c r="J26" s="182">
        <v>2019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thickBot="1" x14ac:dyDescent="0.25">
      <c r="A27" s="12"/>
      <c r="B27" s="165"/>
      <c r="C27" s="145"/>
      <c r="D27" s="145"/>
      <c r="E27" s="195" t="s">
        <v>76</v>
      </c>
      <c r="F27" s="199" t="s">
        <v>31</v>
      </c>
      <c r="G27" s="195" t="s">
        <v>10</v>
      </c>
      <c r="H27" s="195">
        <v>147</v>
      </c>
      <c r="I27" s="136" t="s">
        <v>27</v>
      </c>
      <c r="J27" s="203">
        <v>2019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thickBot="1" x14ac:dyDescent="0.25">
      <c r="A28" s="12"/>
      <c r="B28" s="165"/>
      <c r="C28" s="145"/>
      <c r="D28" s="145"/>
      <c r="E28" s="205" t="s">
        <v>84</v>
      </c>
      <c r="F28" s="206" t="s">
        <v>85</v>
      </c>
      <c r="G28" s="205" t="s">
        <v>23</v>
      </c>
      <c r="H28" s="205">
        <v>1962</v>
      </c>
      <c r="I28" s="202" t="s">
        <v>24</v>
      </c>
      <c r="J28" s="181">
        <v>2019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thickBot="1" x14ac:dyDescent="0.25">
      <c r="A29" s="12"/>
      <c r="B29" s="165"/>
      <c r="C29" s="145"/>
      <c r="D29" s="145"/>
      <c r="E29" s="205" t="s">
        <v>108</v>
      </c>
      <c r="F29" s="206" t="s">
        <v>85</v>
      </c>
      <c r="G29" s="205" t="s">
        <v>23</v>
      </c>
      <c r="H29" s="205">
        <v>1962</v>
      </c>
      <c r="I29" s="202" t="s">
        <v>24</v>
      </c>
      <c r="J29" s="203">
        <v>2019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 thickBot="1" x14ac:dyDescent="0.25">
      <c r="A30" s="5"/>
      <c r="B30" s="165"/>
      <c r="C30" s="145"/>
      <c r="D30" s="145"/>
      <c r="E30" s="205" t="s">
        <v>113</v>
      </c>
      <c r="F30" s="206">
        <v>1</v>
      </c>
      <c r="G30" s="205" t="s">
        <v>103</v>
      </c>
      <c r="H30" s="205">
        <v>0.1096</v>
      </c>
      <c r="I30" s="202" t="s">
        <v>107</v>
      </c>
      <c r="J30" s="203">
        <v>2019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thickBot="1" x14ac:dyDescent="0.25">
      <c r="A31" s="5"/>
      <c r="B31" s="165"/>
      <c r="C31" s="145"/>
      <c r="D31" s="145"/>
      <c r="E31" s="205" t="s">
        <v>226</v>
      </c>
      <c r="F31" s="206" t="s">
        <v>93</v>
      </c>
      <c r="G31" s="205"/>
      <c r="H31" s="205"/>
      <c r="I31" s="205"/>
      <c r="J31" s="20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thickBot="1" x14ac:dyDescent="0.25">
      <c r="A32" s="5"/>
      <c r="B32" s="165"/>
      <c r="C32" s="145"/>
      <c r="D32" s="145"/>
      <c r="E32" s="205" t="s">
        <v>94</v>
      </c>
      <c r="F32" s="206" t="s">
        <v>93</v>
      </c>
      <c r="G32" s="205"/>
      <c r="H32" s="205"/>
      <c r="I32" s="205"/>
      <c r="J32" s="20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thickBot="1" x14ac:dyDescent="0.25">
      <c r="A33" s="5"/>
      <c r="B33" s="165"/>
      <c r="C33" s="146"/>
      <c r="D33" s="146"/>
      <c r="E33" s="205" t="s">
        <v>95</v>
      </c>
      <c r="F33" s="206" t="s">
        <v>93</v>
      </c>
      <c r="G33" s="205"/>
      <c r="H33" s="205"/>
      <c r="I33" s="205"/>
      <c r="J33" s="20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thickTop="1" thickBot="1" x14ac:dyDescent="0.25">
      <c r="A34" s="5"/>
      <c r="B34" s="165"/>
      <c r="C34" s="166"/>
      <c r="D34" s="166"/>
      <c r="E34" s="205" t="s">
        <v>115</v>
      </c>
      <c r="F34" s="206" t="s">
        <v>93</v>
      </c>
      <c r="G34" s="205"/>
      <c r="H34" s="205"/>
      <c r="I34" s="205"/>
      <c r="J34" s="20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thickBot="1" x14ac:dyDescent="0.25">
      <c r="A35" s="5"/>
      <c r="B35" s="5"/>
      <c r="C35" s="5"/>
      <c r="D35" s="5"/>
      <c r="E35" s="205" t="s">
        <v>118</v>
      </c>
      <c r="F35" s="206" t="s">
        <v>93</v>
      </c>
      <c r="G35" s="205"/>
      <c r="H35" s="205"/>
      <c r="I35" s="205"/>
      <c r="J35" s="20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thickBot="1" x14ac:dyDescent="0.25">
      <c r="A36" s="5"/>
      <c r="B36" s="5"/>
      <c r="C36" s="5"/>
      <c r="D36" s="5"/>
      <c r="E36" s="205" t="s">
        <v>72</v>
      </c>
      <c r="F36" s="206" t="s">
        <v>93</v>
      </c>
      <c r="G36" s="205"/>
      <c r="H36" s="205"/>
      <c r="I36" s="205"/>
      <c r="J36" s="20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12"/>
      <c r="B37" s="12"/>
      <c r="C37" s="12"/>
      <c r="D37" s="12"/>
      <c r="E37" s="195" t="s">
        <v>96</v>
      </c>
      <c r="F37" s="199" t="s">
        <v>93</v>
      </c>
      <c r="G37" s="195"/>
      <c r="H37" s="195"/>
      <c r="I37" s="196"/>
      <c r="J37" s="196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customHeight="1" thickBot="1" x14ac:dyDescent="0.25">
      <c r="A38" s="12"/>
      <c r="B38" s="12"/>
      <c r="C38" s="12"/>
      <c r="D38" s="12"/>
      <c r="E38" s="201" t="s">
        <v>5</v>
      </c>
      <c r="F38" s="201">
        <v>1</v>
      </c>
      <c r="G38" s="201" t="s">
        <v>23</v>
      </c>
      <c r="H38" s="201">
        <v>1884</v>
      </c>
      <c r="I38" s="202" t="s">
        <v>24</v>
      </c>
      <c r="J38" s="181">
        <v>2020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customHeight="1" thickBot="1" x14ac:dyDescent="0.25">
      <c r="A39" s="12"/>
      <c r="B39" s="12"/>
      <c r="C39" s="12"/>
      <c r="D39" s="12"/>
      <c r="E39" s="130" t="s">
        <v>81</v>
      </c>
      <c r="F39" s="130">
        <v>1</v>
      </c>
      <c r="G39" s="130" t="s">
        <v>6</v>
      </c>
      <c r="H39" s="130">
        <v>3262</v>
      </c>
      <c r="I39" s="136" t="s">
        <v>25</v>
      </c>
      <c r="J39" s="155">
        <v>2020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4.25" customHeight="1" thickBot="1" x14ac:dyDescent="0.25">
      <c r="A40" s="5"/>
      <c r="B40" s="5"/>
      <c r="C40" s="5"/>
      <c r="D40" s="5"/>
      <c r="E40" s="130" t="s">
        <v>82</v>
      </c>
      <c r="F40" s="130">
        <v>1</v>
      </c>
      <c r="G40" s="130" t="s">
        <v>6</v>
      </c>
      <c r="H40" s="130">
        <v>2784</v>
      </c>
      <c r="I40" s="136" t="s">
        <v>25</v>
      </c>
      <c r="J40" s="181">
        <v>2020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thickBot="1" x14ac:dyDescent="0.25">
      <c r="A41" s="5"/>
      <c r="B41" s="5"/>
      <c r="C41" s="5"/>
      <c r="D41" s="5"/>
      <c r="E41" s="130" t="s">
        <v>83</v>
      </c>
      <c r="F41" s="130">
        <v>1</v>
      </c>
      <c r="G41" s="130" t="s">
        <v>106</v>
      </c>
      <c r="H41" s="130">
        <v>2728</v>
      </c>
      <c r="I41" s="136" t="s">
        <v>107</v>
      </c>
      <c r="J41" s="155">
        <v>2020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thickBot="1" x14ac:dyDescent="0.25">
      <c r="A42" s="5"/>
      <c r="B42" s="5"/>
      <c r="C42" s="5"/>
      <c r="D42" s="5"/>
      <c r="E42" s="130" t="s">
        <v>105</v>
      </c>
      <c r="F42" s="130">
        <v>1</v>
      </c>
      <c r="G42" s="130" t="s">
        <v>10</v>
      </c>
      <c r="H42" s="130">
        <v>92</v>
      </c>
      <c r="I42" s="136" t="s">
        <v>27</v>
      </c>
      <c r="J42" s="181">
        <v>2020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thickBot="1" x14ac:dyDescent="0.25">
      <c r="A43" s="12"/>
      <c r="B43" s="12"/>
      <c r="C43" s="12"/>
      <c r="D43" s="12"/>
      <c r="E43" s="130" t="s">
        <v>109</v>
      </c>
      <c r="F43" s="130">
        <v>1</v>
      </c>
      <c r="G43" s="130" t="s">
        <v>10</v>
      </c>
      <c r="H43" s="130">
        <v>145</v>
      </c>
      <c r="I43" s="136" t="s">
        <v>27</v>
      </c>
      <c r="J43" s="181">
        <v>2020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4.25" customHeight="1" thickBot="1" x14ac:dyDescent="0.25">
      <c r="A44" s="12"/>
      <c r="B44" s="12"/>
      <c r="C44" s="12"/>
      <c r="D44" s="12"/>
      <c r="E44" s="130" t="s">
        <v>110</v>
      </c>
      <c r="F44" s="130">
        <v>1</v>
      </c>
      <c r="G44" s="130" t="s">
        <v>10</v>
      </c>
      <c r="H44" s="130">
        <v>209</v>
      </c>
      <c r="I44" s="136" t="s">
        <v>27</v>
      </c>
      <c r="J44" s="181">
        <v>2020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4.25" customHeight="1" thickBot="1" x14ac:dyDescent="0.25">
      <c r="A45" s="5"/>
      <c r="B45" s="5"/>
      <c r="C45" s="5"/>
      <c r="D45" s="5"/>
      <c r="E45" s="130" t="s">
        <v>73</v>
      </c>
      <c r="F45" s="130">
        <v>1</v>
      </c>
      <c r="G45" s="130" t="s">
        <v>6</v>
      </c>
      <c r="H45" s="130">
        <v>260</v>
      </c>
      <c r="I45" s="136" t="s">
        <v>25</v>
      </c>
      <c r="J45" s="181">
        <v>2020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thickBot="1" x14ac:dyDescent="0.25">
      <c r="A46" s="12"/>
      <c r="B46" s="165"/>
      <c r="C46" s="145"/>
      <c r="D46" s="145"/>
      <c r="E46" s="130" t="s">
        <v>92</v>
      </c>
      <c r="F46" s="130">
        <v>1</v>
      </c>
      <c r="G46" s="130" t="s">
        <v>23</v>
      </c>
      <c r="H46" s="130">
        <f>((65%*680)*25)</f>
        <v>11050</v>
      </c>
      <c r="I46" s="136" t="s">
        <v>24</v>
      </c>
      <c r="J46" s="182">
        <v>2020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4.25" customHeight="1" thickBot="1" x14ac:dyDescent="0.25">
      <c r="A47" s="12"/>
      <c r="B47" s="165"/>
      <c r="C47" s="145"/>
      <c r="D47" s="145"/>
      <c r="E47" s="130" t="s">
        <v>29</v>
      </c>
      <c r="F47" s="130">
        <v>2</v>
      </c>
      <c r="G47" s="130" t="s">
        <v>9</v>
      </c>
      <c r="H47" s="130">
        <v>556</v>
      </c>
      <c r="I47" s="136" t="s">
        <v>26</v>
      </c>
      <c r="J47" s="155">
        <v>2020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4.25" customHeight="1" thickBot="1" x14ac:dyDescent="0.25">
      <c r="A48" s="12"/>
      <c r="B48" s="165"/>
      <c r="C48" s="145"/>
      <c r="D48" s="145"/>
      <c r="E48" s="130" t="s">
        <v>28</v>
      </c>
      <c r="F48" s="130">
        <v>2</v>
      </c>
      <c r="G48" s="130" t="s">
        <v>9</v>
      </c>
      <c r="H48" s="130">
        <v>0</v>
      </c>
      <c r="I48" s="136" t="s">
        <v>26</v>
      </c>
      <c r="J48" s="181">
        <v>2020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4.25" customHeight="1" thickBot="1" x14ac:dyDescent="0.25">
      <c r="A49" s="5"/>
      <c r="B49" s="165"/>
      <c r="C49" s="145"/>
      <c r="D49" s="145"/>
      <c r="E49" s="130" t="s">
        <v>97</v>
      </c>
      <c r="F49" s="130">
        <v>2</v>
      </c>
      <c r="G49" s="130" t="s">
        <v>9</v>
      </c>
      <c r="H49" s="130">
        <v>556</v>
      </c>
      <c r="I49" s="136" t="s">
        <v>26</v>
      </c>
      <c r="J49" s="155">
        <v>2020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thickBot="1" x14ac:dyDescent="0.25">
      <c r="A50" s="5"/>
      <c r="B50" s="5"/>
      <c r="C50" s="5"/>
      <c r="D50" s="5"/>
      <c r="E50" s="130" t="s">
        <v>102</v>
      </c>
      <c r="F50" s="130">
        <v>2</v>
      </c>
      <c r="G50" s="130" t="s">
        <v>103</v>
      </c>
      <c r="H50" s="130">
        <v>35970</v>
      </c>
      <c r="I50" s="136" t="s">
        <v>104</v>
      </c>
      <c r="J50" s="155">
        <v>2020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thickBot="1" x14ac:dyDescent="0.25">
      <c r="A51" s="5"/>
      <c r="B51" s="5"/>
      <c r="C51" s="5"/>
      <c r="D51" s="5"/>
      <c r="E51" s="130" t="s">
        <v>12</v>
      </c>
      <c r="F51" s="164" t="s">
        <v>31</v>
      </c>
      <c r="G51" s="130" t="s">
        <v>10</v>
      </c>
      <c r="H51" s="130">
        <v>195</v>
      </c>
      <c r="I51" s="136" t="s">
        <v>27</v>
      </c>
      <c r="J51" s="155">
        <v>2020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thickBot="1" x14ac:dyDescent="0.25">
      <c r="A52" s="5"/>
      <c r="B52" s="5"/>
      <c r="C52" s="5"/>
      <c r="D52" s="5"/>
      <c r="E52" s="130" t="s">
        <v>77</v>
      </c>
      <c r="F52" s="164" t="s">
        <v>31</v>
      </c>
      <c r="G52" s="130" t="s">
        <v>10</v>
      </c>
      <c r="H52" s="130">
        <v>36</v>
      </c>
      <c r="I52" s="136" t="s">
        <v>27</v>
      </c>
      <c r="J52" s="181">
        <v>2020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thickBot="1" x14ac:dyDescent="0.25">
      <c r="A53" s="5"/>
      <c r="B53" s="5"/>
      <c r="C53" s="5"/>
      <c r="D53" s="5"/>
      <c r="E53" s="130" t="s">
        <v>98</v>
      </c>
      <c r="F53" s="164" t="s">
        <v>31</v>
      </c>
      <c r="G53" s="130" t="s">
        <v>10</v>
      </c>
      <c r="H53" s="130">
        <v>6</v>
      </c>
      <c r="I53" s="136" t="s">
        <v>27</v>
      </c>
      <c r="J53" s="155">
        <v>2020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thickBot="1" x14ac:dyDescent="0.25">
      <c r="A54" s="5"/>
      <c r="B54" s="5"/>
      <c r="C54" s="5"/>
      <c r="D54" s="5"/>
      <c r="E54" s="130" t="s">
        <v>74</v>
      </c>
      <c r="F54" s="164" t="s">
        <v>31</v>
      </c>
      <c r="G54" s="130" t="s">
        <v>10</v>
      </c>
      <c r="H54" s="130">
        <v>297</v>
      </c>
      <c r="I54" s="136" t="s">
        <v>27</v>
      </c>
      <c r="J54" s="155">
        <v>2020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thickBot="1" x14ac:dyDescent="0.25">
      <c r="A55" s="5"/>
      <c r="B55" s="5"/>
      <c r="C55" s="5"/>
      <c r="D55" s="5"/>
      <c r="E55" s="130" t="s">
        <v>75</v>
      </c>
      <c r="F55" s="164" t="s">
        <v>31</v>
      </c>
      <c r="G55" s="130" t="s">
        <v>10</v>
      </c>
      <c r="H55" s="130">
        <v>200</v>
      </c>
      <c r="I55" s="136" t="s">
        <v>27</v>
      </c>
      <c r="J55" s="181">
        <v>2020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thickBot="1" x14ac:dyDescent="0.25">
      <c r="A56" s="5"/>
      <c r="B56" s="5"/>
      <c r="C56" s="5"/>
      <c r="D56" s="5"/>
      <c r="E56" s="195" t="s">
        <v>76</v>
      </c>
      <c r="F56" s="199" t="s">
        <v>31</v>
      </c>
      <c r="G56" s="195" t="s">
        <v>10</v>
      </c>
      <c r="H56" s="195">
        <v>147</v>
      </c>
      <c r="I56" s="136" t="s">
        <v>27</v>
      </c>
      <c r="J56" s="203">
        <v>2020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thickBot="1" x14ac:dyDescent="0.25">
      <c r="A57" s="5"/>
      <c r="B57" s="5"/>
      <c r="C57" s="5"/>
      <c r="D57" s="5"/>
      <c r="E57" s="205" t="s">
        <v>113</v>
      </c>
      <c r="F57" s="206">
        <v>1</v>
      </c>
      <c r="G57" s="205" t="s">
        <v>103</v>
      </c>
      <c r="H57" s="205">
        <v>0.1096</v>
      </c>
      <c r="I57" s="202" t="s">
        <v>107</v>
      </c>
      <c r="J57" s="203">
        <v>2020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thickBot="1" x14ac:dyDescent="0.25">
      <c r="A58" s="12"/>
      <c r="B58" s="12"/>
      <c r="C58" s="12"/>
      <c r="D58" s="12"/>
      <c r="E58" s="205" t="s">
        <v>84</v>
      </c>
      <c r="F58" s="206" t="s">
        <v>85</v>
      </c>
      <c r="G58" s="205" t="s">
        <v>23</v>
      </c>
      <c r="H58" s="205">
        <v>1962</v>
      </c>
      <c r="I58" s="202" t="s">
        <v>24</v>
      </c>
      <c r="J58" s="181">
        <v>2020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4.25" customHeight="1" x14ac:dyDescent="0.2">
      <c r="A59" s="5"/>
      <c r="B59" s="5"/>
      <c r="C59" s="5"/>
      <c r="D59" s="5"/>
      <c r="E59" s="205" t="s">
        <v>108</v>
      </c>
      <c r="F59" s="199" t="s">
        <v>85</v>
      </c>
      <c r="G59" s="195" t="s">
        <v>23</v>
      </c>
      <c r="H59" s="195">
        <v>1962</v>
      </c>
      <c r="I59" s="196" t="s">
        <v>24</v>
      </c>
      <c r="J59" s="200">
        <v>2020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thickBot="1" x14ac:dyDescent="0.25">
      <c r="A60" s="5"/>
      <c r="B60" s="5"/>
      <c r="C60" s="5"/>
      <c r="D60" s="5"/>
      <c r="E60" s="201" t="s">
        <v>5</v>
      </c>
      <c r="F60" s="201">
        <v>1</v>
      </c>
      <c r="G60" s="201" t="s">
        <v>23</v>
      </c>
      <c r="H60" s="201">
        <v>1884</v>
      </c>
      <c r="I60" s="202" t="s">
        <v>24</v>
      </c>
      <c r="J60" s="181">
        <v>2021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thickBot="1" x14ac:dyDescent="0.25">
      <c r="A61" s="5"/>
      <c r="B61" s="5"/>
      <c r="C61" s="5"/>
      <c r="D61" s="5"/>
      <c r="E61" s="130" t="s">
        <v>81</v>
      </c>
      <c r="F61" s="130">
        <v>1</v>
      </c>
      <c r="G61" s="130" t="s">
        <v>6</v>
      </c>
      <c r="H61" s="130">
        <v>3262</v>
      </c>
      <c r="I61" s="136" t="s">
        <v>25</v>
      </c>
      <c r="J61" s="155">
        <v>2021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thickBot="1" x14ac:dyDescent="0.25">
      <c r="A62" s="12"/>
      <c r="B62" s="12"/>
      <c r="C62" s="12"/>
      <c r="D62" s="12"/>
      <c r="E62" s="130" t="s">
        <v>82</v>
      </c>
      <c r="F62" s="130">
        <v>1</v>
      </c>
      <c r="G62" s="130" t="s">
        <v>6</v>
      </c>
      <c r="H62" s="130">
        <v>2784</v>
      </c>
      <c r="I62" s="136" t="s">
        <v>25</v>
      </c>
      <c r="J62" s="182">
        <v>2021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4.25" customHeight="1" thickBot="1" x14ac:dyDescent="0.25">
      <c r="A63" s="12"/>
      <c r="B63" s="12"/>
      <c r="C63" s="12"/>
      <c r="D63" s="12"/>
      <c r="E63" s="130" t="s">
        <v>83</v>
      </c>
      <c r="F63" s="130">
        <v>1</v>
      </c>
      <c r="G63" s="130" t="s">
        <v>106</v>
      </c>
      <c r="H63" s="130">
        <v>2633</v>
      </c>
      <c r="I63" s="136" t="s">
        <v>107</v>
      </c>
      <c r="J63" s="155">
        <v>2021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4.25" customHeight="1" thickBot="1" x14ac:dyDescent="0.25">
      <c r="A64" s="12"/>
      <c r="B64" s="165"/>
      <c r="C64" s="145"/>
      <c r="D64" s="145"/>
      <c r="E64" s="130" t="s">
        <v>114</v>
      </c>
      <c r="F64" s="130">
        <v>1</v>
      </c>
      <c r="G64" s="130" t="s">
        <v>6</v>
      </c>
      <c r="H64" s="130">
        <v>1798</v>
      </c>
      <c r="I64" s="136" t="s">
        <v>25</v>
      </c>
      <c r="J64" s="155">
        <v>2021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4.25" customHeight="1" thickBot="1" x14ac:dyDescent="0.25">
      <c r="A65" s="12"/>
      <c r="B65" s="165"/>
      <c r="C65" s="145"/>
      <c r="D65" s="145"/>
      <c r="E65" s="130" t="s">
        <v>105</v>
      </c>
      <c r="F65" s="130">
        <v>1</v>
      </c>
      <c r="G65" s="130" t="s">
        <v>10</v>
      </c>
      <c r="H65" s="130">
        <v>92</v>
      </c>
      <c r="I65" s="136" t="s">
        <v>27</v>
      </c>
      <c r="J65" s="181">
        <v>2021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4.25" customHeight="1" thickBot="1" x14ac:dyDescent="0.25">
      <c r="A66" s="12"/>
      <c r="B66" s="165"/>
      <c r="C66" s="145"/>
      <c r="D66" s="145"/>
      <c r="E66" s="130" t="s">
        <v>73</v>
      </c>
      <c r="F66" s="130">
        <v>1</v>
      </c>
      <c r="G66" s="130" t="s">
        <v>6</v>
      </c>
      <c r="H66" s="130">
        <v>260</v>
      </c>
      <c r="I66" s="136" t="s">
        <v>25</v>
      </c>
      <c r="J66" s="182">
        <v>2021</v>
      </c>
      <c r="K66" s="314" t="s">
        <v>212</v>
      </c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4.25" customHeight="1" thickBot="1" x14ac:dyDescent="0.25">
      <c r="A67" s="5"/>
      <c r="B67" s="165"/>
      <c r="C67" s="145"/>
      <c r="D67" s="145"/>
      <c r="E67" s="130" t="s">
        <v>92</v>
      </c>
      <c r="F67" s="130">
        <v>1</v>
      </c>
      <c r="G67" s="130" t="s">
        <v>23</v>
      </c>
      <c r="H67" s="130">
        <v>11607</v>
      </c>
      <c r="I67" s="136" t="s">
        <v>24</v>
      </c>
      <c r="J67" s="182">
        <v>2021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thickBot="1" x14ac:dyDescent="0.25">
      <c r="A68" s="5"/>
      <c r="B68" s="5"/>
      <c r="C68" s="5"/>
      <c r="D68" s="5"/>
      <c r="E68" s="130" t="s">
        <v>29</v>
      </c>
      <c r="F68" s="130">
        <v>2</v>
      </c>
      <c r="G68" s="130" t="s">
        <v>9</v>
      </c>
      <c r="H68" s="130">
        <v>556</v>
      </c>
      <c r="I68" s="136" t="s">
        <v>26</v>
      </c>
      <c r="J68" s="155">
        <v>2021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thickBot="1" x14ac:dyDescent="0.25">
      <c r="A69" s="5"/>
      <c r="B69" s="5"/>
      <c r="C69" s="5"/>
      <c r="D69" s="5"/>
      <c r="E69" s="130" t="s">
        <v>28</v>
      </c>
      <c r="F69" s="130">
        <v>2</v>
      </c>
      <c r="G69" s="130" t="s">
        <v>9</v>
      </c>
      <c r="H69" s="130">
        <v>0</v>
      </c>
      <c r="I69" s="136" t="s">
        <v>26</v>
      </c>
      <c r="J69" s="182">
        <v>2021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thickBot="1" x14ac:dyDescent="0.25">
      <c r="A70" s="5"/>
      <c r="B70" s="5"/>
      <c r="C70" s="5"/>
      <c r="D70" s="5"/>
      <c r="E70" s="130" t="s">
        <v>97</v>
      </c>
      <c r="F70" s="130">
        <v>2</v>
      </c>
      <c r="G70" s="130" t="s">
        <v>9</v>
      </c>
      <c r="H70" s="130">
        <v>556</v>
      </c>
      <c r="I70" s="136" t="s">
        <v>26</v>
      </c>
      <c r="J70" s="155">
        <v>2021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thickBot="1" x14ac:dyDescent="0.25">
      <c r="A71" s="5"/>
      <c r="B71" s="5"/>
      <c r="C71" s="5"/>
      <c r="D71" s="5"/>
      <c r="E71" s="130" t="s">
        <v>102</v>
      </c>
      <c r="F71" s="130">
        <v>2</v>
      </c>
      <c r="G71" s="130" t="s">
        <v>103</v>
      </c>
      <c r="H71" s="130">
        <v>35970</v>
      </c>
      <c r="I71" s="136" t="s">
        <v>104</v>
      </c>
      <c r="J71" s="155">
        <v>2021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thickBot="1" x14ac:dyDescent="0.25">
      <c r="A72" s="5"/>
      <c r="B72" s="5"/>
      <c r="C72" s="5"/>
      <c r="D72" s="5"/>
      <c r="E72" s="130" t="s">
        <v>12</v>
      </c>
      <c r="F72" s="164" t="s">
        <v>31</v>
      </c>
      <c r="G72" s="130" t="s">
        <v>10</v>
      </c>
      <c r="H72" s="130">
        <v>195</v>
      </c>
      <c r="I72" s="136" t="s">
        <v>27</v>
      </c>
      <c r="J72" s="155">
        <v>2021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thickBot="1" x14ac:dyDescent="0.25">
      <c r="A73" s="5"/>
      <c r="B73" s="5"/>
      <c r="C73" s="5"/>
      <c r="D73" s="5"/>
      <c r="E73" s="130" t="s">
        <v>77</v>
      </c>
      <c r="F73" s="164" t="s">
        <v>31</v>
      </c>
      <c r="G73" s="130" t="s">
        <v>10</v>
      </c>
      <c r="H73" s="130">
        <v>15</v>
      </c>
      <c r="I73" s="136" t="s">
        <v>27</v>
      </c>
      <c r="J73" s="182">
        <v>2021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thickBot="1" x14ac:dyDescent="0.25">
      <c r="A74" s="5"/>
      <c r="B74" s="5"/>
      <c r="C74" s="5"/>
      <c r="D74" s="5"/>
      <c r="E74" s="130" t="s">
        <v>98</v>
      </c>
      <c r="F74" s="164" t="s">
        <v>31</v>
      </c>
      <c r="G74" s="130" t="s">
        <v>10</v>
      </c>
      <c r="H74" s="130">
        <v>2</v>
      </c>
      <c r="I74" s="136" t="s">
        <v>27</v>
      </c>
      <c r="J74" s="155">
        <v>2021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thickBot="1" x14ac:dyDescent="0.25">
      <c r="A75" s="5"/>
      <c r="B75" s="5"/>
      <c r="C75" s="5"/>
      <c r="D75" s="5"/>
      <c r="E75" s="130" t="s">
        <v>74</v>
      </c>
      <c r="F75" s="164" t="s">
        <v>31</v>
      </c>
      <c r="G75" s="130" t="s">
        <v>10</v>
      </c>
      <c r="H75" s="130">
        <v>297</v>
      </c>
      <c r="I75" s="136" t="s">
        <v>27</v>
      </c>
      <c r="J75" s="155">
        <v>2021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thickBot="1" x14ac:dyDescent="0.25">
      <c r="A76" s="5"/>
      <c r="B76" s="5"/>
      <c r="C76" s="5"/>
      <c r="D76" s="5"/>
      <c r="E76" s="130" t="s">
        <v>75</v>
      </c>
      <c r="F76" s="164" t="s">
        <v>31</v>
      </c>
      <c r="G76" s="130" t="s">
        <v>10</v>
      </c>
      <c r="H76" s="130">
        <v>200</v>
      </c>
      <c r="I76" s="136" t="s">
        <v>27</v>
      </c>
      <c r="J76" s="182">
        <v>2021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thickBot="1" x14ac:dyDescent="0.25">
      <c r="A77" s="5"/>
      <c r="B77" s="5"/>
      <c r="C77" s="5"/>
      <c r="D77" s="5"/>
      <c r="E77" s="195" t="s">
        <v>76</v>
      </c>
      <c r="F77" s="199" t="s">
        <v>31</v>
      </c>
      <c r="G77" s="195" t="s">
        <v>10</v>
      </c>
      <c r="H77" s="207">
        <v>147</v>
      </c>
      <c r="I77" s="136" t="s">
        <v>27</v>
      </c>
      <c r="J77" s="204">
        <v>2021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thickBot="1" x14ac:dyDescent="0.25">
      <c r="A78" s="5"/>
      <c r="B78" s="5"/>
      <c r="C78" s="5"/>
      <c r="D78" s="5"/>
      <c r="E78" s="205" t="s">
        <v>113</v>
      </c>
      <c r="F78" s="206">
        <v>1</v>
      </c>
      <c r="G78" s="205" t="s">
        <v>103</v>
      </c>
      <c r="H78" s="205">
        <v>0.1096</v>
      </c>
      <c r="I78" s="202" t="s">
        <v>107</v>
      </c>
      <c r="J78" s="203">
        <v>2021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thickBot="1" x14ac:dyDescent="0.25">
      <c r="A79" s="5"/>
      <c r="B79" s="5"/>
      <c r="C79" s="5"/>
      <c r="D79" s="5"/>
      <c r="E79" s="205" t="s">
        <v>84</v>
      </c>
      <c r="F79" s="206" t="s">
        <v>85</v>
      </c>
      <c r="G79" s="205" t="s">
        <v>23</v>
      </c>
      <c r="H79" s="205">
        <v>1962</v>
      </c>
      <c r="I79" s="202" t="s">
        <v>24</v>
      </c>
      <c r="J79" s="181">
        <v>2021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">
      <c r="A80" s="5"/>
      <c r="B80" s="5"/>
      <c r="C80" s="5"/>
      <c r="D80" s="5"/>
      <c r="E80" s="205" t="s">
        <v>108</v>
      </c>
      <c r="F80" s="199" t="s">
        <v>85</v>
      </c>
      <c r="G80" s="195" t="s">
        <v>23</v>
      </c>
      <c r="H80" s="195">
        <v>1962</v>
      </c>
      <c r="I80" s="196" t="s">
        <v>24</v>
      </c>
      <c r="J80" s="200">
        <v>2021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">
      <c r="A976" s="5"/>
      <c r="B976" s="5"/>
      <c r="C976" s="5"/>
      <c r="D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">
      <c r="A977" s="5"/>
      <c r="B977" s="5"/>
      <c r="C977" s="5"/>
      <c r="D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">
      <c r="A978" s="5"/>
      <c r="B978" s="5"/>
      <c r="C978" s="5"/>
      <c r="D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">
      <c r="A979" s="5"/>
      <c r="B979" s="5"/>
      <c r="C979" s="5"/>
      <c r="D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">
      <c r="A980" s="5"/>
      <c r="B980" s="5"/>
      <c r="C980" s="5"/>
      <c r="D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">
      <c r="A981" s="5"/>
      <c r="B981" s="5"/>
      <c r="C981" s="5"/>
      <c r="D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">
      <c r="A982" s="5"/>
      <c r="B982" s="5"/>
      <c r="C982" s="5"/>
      <c r="D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">
      <c r="A983" s="5"/>
      <c r="B983" s="5"/>
      <c r="C983" s="5"/>
      <c r="D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">
      <c r="A984" s="5"/>
      <c r="B984" s="5"/>
      <c r="C984" s="5"/>
      <c r="D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">
      <c r="A985" s="5"/>
      <c r="B985" s="5"/>
      <c r="C985" s="5"/>
      <c r="D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">
      <c r="A986" s="5"/>
      <c r="B986" s="5"/>
      <c r="C986" s="5"/>
      <c r="D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">
      <c r="A987" s="5"/>
      <c r="B987" s="5"/>
      <c r="C987" s="5"/>
      <c r="D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">
      <c r="A988" s="5"/>
      <c r="B988" s="5"/>
      <c r="C988" s="5"/>
      <c r="D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">
      <c r="A989" s="5"/>
      <c r="B989" s="5"/>
      <c r="C989" s="5"/>
      <c r="D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">
      <c r="A990" s="5"/>
      <c r="B990" s="5"/>
      <c r="C990" s="5"/>
      <c r="D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">
      <c r="A991" s="5"/>
      <c r="B991" s="5"/>
      <c r="C991" s="5"/>
      <c r="D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">
      <c r="A992" s="5"/>
      <c r="B992" s="5"/>
      <c r="C992" s="5"/>
      <c r="D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">
      <c r="A993" s="5"/>
      <c r="B993" s="5"/>
      <c r="C993" s="5"/>
      <c r="D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">
      <c r="A994" s="5"/>
      <c r="B994" s="5"/>
      <c r="C994" s="5"/>
      <c r="D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">
      <c r="A995" s="5"/>
      <c r="B995" s="5"/>
      <c r="C995" s="5"/>
      <c r="D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">
      <c r="A996" s="5"/>
      <c r="B996" s="5"/>
      <c r="C996" s="5"/>
      <c r="D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">
      <c r="A997" s="5"/>
      <c r="B997" s="5"/>
      <c r="C997" s="5"/>
      <c r="D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">
      <c r="A998" s="5"/>
      <c r="B998" s="5"/>
      <c r="C998" s="5"/>
      <c r="D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">
      <c r="A999" s="5"/>
      <c r="B999" s="5"/>
      <c r="C999" s="5"/>
      <c r="D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">
      <c r="A1000" s="5"/>
      <c r="B1000" s="5"/>
      <c r="C1000" s="5"/>
      <c r="D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2">
      <c r="A1001" s="5"/>
      <c r="B1001" s="5"/>
      <c r="C1001" s="5"/>
      <c r="D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2">
      <c r="A1002" s="5"/>
      <c r="B1002" s="5"/>
      <c r="C1002" s="5"/>
      <c r="D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2">
      <c r="A1003" s="5"/>
      <c r="B1003" s="5"/>
      <c r="C1003" s="5"/>
      <c r="D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2">
      <c r="A1004" s="5"/>
      <c r="B1004" s="5"/>
      <c r="C1004" s="5"/>
      <c r="D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2">
      <c r="A1005" s="5"/>
      <c r="B1005" s="5"/>
      <c r="C1005" s="5"/>
      <c r="D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2">
      <c r="A1006" s="5"/>
      <c r="B1006" s="5"/>
      <c r="C1006" s="5"/>
      <c r="D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2">
      <c r="A1007" s="5"/>
      <c r="B1007" s="5"/>
      <c r="C1007" s="5"/>
      <c r="D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2">
      <c r="A1008" s="5"/>
      <c r="B1008" s="5"/>
      <c r="C1008" s="5"/>
      <c r="D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2">
      <c r="A1009" s="5"/>
      <c r="B1009" s="5"/>
      <c r="C1009" s="5"/>
      <c r="D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2">
      <c r="A1010" s="5"/>
      <c r="B1010" s="5"/>
      <c r="C1010" s="5"/>
      <c r="D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2">
      <c r="A1011" s="5"/>
      <c r="B1011" s="5"/>
      <c r="C1011" s="5"/>
      <c r="D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2">
      <c r="A1012" s="5"/>
      <c r="B1012" s="5"/>
      <c r="C1012" s="5"/>
      <c r="D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2">
      <c r="A1013" s="5"/>
      <c r="B1013" s="5"/>
      <c r="C1013" s="5"/>
      <c r="D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2">
      <c r="A1014" s="5"/>
      <c r="B1014" s="5"/>
      <c r="C1014" s="5"/>
      <c r="D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2">
      <c r="A1015" s="5"/>
      <c r="B1015" s="5"/>
      <c r="C1015" s="5"/>
      <c r="D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</sheetData>
  <sortState xmlns:xlrd2="http://schemas.microsoft.com/office/spreadsheetml/2017/richdata2" ref="J8:J10">
    <sortCondition ref="J8"/>
  </sortState>
  <mergeCells count="1">
    <mergeCell ref="B9:J9"/>
  </mergeCells>
  <conditionalFormatting sqref="B11:B17 J38:J41 J47:J55 J68:J76 J44:J45 J11:J13 J15:J27 J60:J66">
    <cfRule type="containsBlanks" dxfId="14" priority="21">
      <formula>LEN(TRIM(B11))=0</formula>
    </cfRule>
  </conditionalFormatting>
  <conditionalFormatting sqref="J28:J29">
    <cfRule type="containsBlanks" dxfId="13" priority="14">
      <formula>LEN(TRIM(J28))=0</formula>
    </cfRule>
  </conditionalFormatting>
  <conditionalFormatting sqref="J56">
    <cfRule type="containsBlanks" dxfId="12" priority="13">
      <formula>LEN(TRIM(J56))=0</formula>
    </cfRule>
  </conditionalFormatting>
  <conditionalFormatting sqref="J58:J59">
    <cfRule type="containsBlanks" dxfId="11" priority="12">
      <formula>LEN(TRIM(J58))=0</formula>
    </cfRule>
  </conditionalFormatting>
  <conditionalFormatting sqref="J77">
    <cfRule type="containsBlanks" dxfId="10" priority="11">
      <formula>LEN(TRIM(J77))=0</formula>
    </cfRule>
  </conditionalFormatting>
  <conditionalFormatting sqref="J79:J80">
    <cfRule type="containsBlanks" dxfId="9" priority="10">
      <formula>LEN(TRIM(J79))=0</formula>
    </cfRule>
  </conditionalFormatting>
  <conditionalFormatting sqref="J46">
    <cfRule type="containsBlanks" dxfId="8" priority="9">
      <formula>LEN(TRIM(J46))=0</formula>
    </cfRule>
  </conditionalFormatting>
  <conditionalFormatting sqref="J67">
    <cfRule type="containsBlanks" dxfId="7" priority="8">
      <formula>LEN(TRIM(J67))=0</formula>
    </cfRule>
  </conditionalFormatting>
  <conditionalFormatting sqref="J43">
    <cfRule type="containsBlanks" dxfId="6" priority="7">
      <formula>LEN(TRIM(J43))=0</formula>
    </cfRule>
  </conditionalFormatting>
  <conditionalFormatting sqref="J42">
    <cfRule type="containsBlanks" dxfId="5" priority="6">
      <formula>LEN(TRIM(J42))=0</formula>
    </cfRule>
  </conditionalFormatting>
  <conditionalFormatting sqref="J30">
    <cfRule type="containsBlanks" dxfId="4" priority="5">
      <formula>LEN(TRIM(J30))=0</formula>
    </cfRule>
  </conditionalFormatting>
  <conditionalFormatting sqref="J57">
    <cfRule type="containsBlanks" dxfId="3" priority="4">
      <formula>LEN(TRIM(J57))=0</formula>
    </cfRule>
  </conditionalFormatting>
  <conditionalFormatting sqref="J78">
    <cfRule type="containsBlanks" dxfId="2" priority="3">
      <formula>LEN(TRIM(J78))=0</formula>
    </cfRule>
  </conditionalFormatting>
  <conditionalFormatting sqref="J14">
    <cfRule type="containsBlanks" dxfId="1" priority="2">
      <formula>LEN(TRIM(J14))=0</formula>
    </cfRule>
  </conditionalFormatting>
  <conditionalFormatting sqref="B18">
    <cfRule type="containsBlanks" dxfId="0" priority="1">
      <formula>LEN(TRIM(B18))=0</formula>
    </cfRule>
  </conditionalFormatting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E4B7-9E0B-449C-BCB3-D0032F0D187E}">
  <dimension ref="B2:I28"/>
  <sheetViews>
    <sheetView zoomScale="153" zoomScaleNormal="153" workbookViewId="0">
      <selection activeCell="B18" sqref="B18:I18"/>
    </sheetView>
  </sheetViews>
  <sheetFormatPr baseColWidth="10" defaultColWidth="8.83203125" defaultRowHeight="14" x14ac:dyDescent="0.15"/>
  <cols>
    <col min="2" max="2" width="34.5" customWidth="1"/>
    <col min="3" max="4" width="9.83203125" bestFit="1" customWidth="1"/>
    <col min="5" max="5" width="9.83203125" customWidth="1"/>
    <col min="6" max="9" width="8.6640625" bestFit="1" customWidth="1"/>
  </cols>
  <sheetData>
    <row r="2" spans="2:9" ht="15" thickBot="1" x14ac:dyDescent="0.2"/>
    <row r="3" spans="2:9" ht="25" customHeight="1" thickTop="1" thickBot="1" x14ac:dyDescent="0.2">
      <c r="B3" s="380" t="s">
        <v>99</v>
      </c>
      <c r="C3" s="381"/>
      <c r="D3" s="381"/>
      <c r="E3" s="381"/>
      <c r="F3" s="381"/>
      <c r="G3" s="381"/>
      <c r="H3" s="381"/>
      <c r="I3" s="381"/>
    </row>
    <row r="4" spans="2:9" ht="25" customHeight="1" thickTop="1" thickBot="1" x14ac:dyDescent="0.2">
      <c r="B4" s="80" t="s">
        <v>100</v>
      </c>
      <c r="C4" s="80">
        <v>2019</v>
      </c>
      <c r="D4" s="80">
        <f>C4+1</f>
        <v>2020</v>
      </c>
      <c r="E4" s="80">
        <f t="shared" ref="E4:I4" si="0">D4+1</f>
        <v>2021</v>
      </c>
      <c r="F4" s="80">
        <f t="shared" si="0"/>
        <v>2022</v>
      </c>
      <c r="G4" s="80">
        <f t="shared" si="0"/>
        <v>2023</v>
      </c>
      <c r="H4" s="80">
        <f>G4+1</f>
        <v>2024</v>
      </c>
      <c r="I4" s="80">
        <f t="shared" si="0"/>
        <v>2025</v>
      </c>
    </row>
    <row r="5" spans="2:9" ht="16" thickTop="1" thickBot="1" x14ac:dyDescent="0.2">
      <c r="B5" s="65" t="s">
        <v>131</v>
      </c>
      <c r="C5" s="220">
        <f>SUMIFS(Data!$H:$H,Data!$G:$G,"Gasverbruik",Data!$O:$O,$B5,Data!$D:$D,C$4,Data!$E:$E,"Heel jaar")</f>
        <v>2662</v>
      </c>
      <c r="D5" s="220">
        <f>SUMIFS(Data!$H:$H,Data!$G:$G,"Gasverbruik",Data!$O:$O,$B5,Data!$D:$D,D$4,Data!$E:$E,"Heel jaar")</f>
        <v>11050</v>
      </c>
      <c r="E5" s="220">
        <f>SUMIFS(Data!$H:$H,Data!$G:$G,"Gasverbruik",Data!$O:$O,$B5,Data!$D:$D,E$4,Data!$E:$E,"Heel jaar")</f>
        <v>10389</v>
      </c>
      <c r="F5" s="220">
        <f>SUMIFS(Data!$H:$H,Data!$G:$G,"Gasverbruik",Data!$O:$O,$B5,Data!$D:$D,F$4,Data!$E:$E,"Heel jaar")</f>
        <v>0</v>
      </c>
      <c r="G5" s="220">
        <f>SUMIFS(Data!$H:$H,Data!$G:$G,"Gasverbruik",Data!$O:$O,$B5,Data!$D:$D,G$4,Data!$E:$E,"Heel jaar")</f>
        <v>0</v>
      </c>
      <c r="H5" s="220">
        <f>SUMIFS(Data!$H:$H,Data!$G:$G,"Gasverbruik",Data!$O:$O,$B5,Data!$D:$D,H$4,Data!$E:$E,"Heel jaar")</f>
        <v>0</v>
      </c>
      <c r="I5" s="220">
        <f>SUMIFS(Data!$H:$H,Data!$G:$G,"Gasverbruik",Data!$O:$O,$B5,Data!$D:$D,I$4,Data!$E:$E,"Heel jaar")</f>
        <v>0</v>
      </c>
    </row>
    <row r="6" spans="2:9" ht="16" thickTop="1" thickBot="1" x14ac:dyDescent="0.2">
      <c r="B6" s="65" t="s">
        <v>133</v>
      </c>
      <c r="C6" s="220">
        <f>SUMIFS(Data!$H:$H,Data!$G:$G,"Gasverbruik",Data!$O:$O,$B6,Data!$D:$D,C$4,Data!$E:$E,"Heel jaar")</f>
        <v>9335</v>
      </c>
      <c r="D6" s="220">
        <f>SUMIFS(Data!$H:$H,Data!$G:$G,"Gasverbruik",Data!$O:$O,$B6,Data!$D:$D,D$4,Data!$E:$E,"Heel jaar")</f>
        <v>40029</v>
      </c>
      <c r="E6" s="220">
        <f>SUMIFS(Data!$H:$H,Data!$G:$G,"Gasverbruik",Data!$O:$O,$B6,Data!$D:$D,E$4,Data!$E:$E,"Heel jaar")</f>
        <v>482075</v>
      </c>
      <c r="F6" s="220">
        <f>SUMIFS(Data!$H:$H,Data!$G:$G,"Gasverbruik",Data!$O:$O,$B6,Data!$D:$D,F$4,Data!$E:$E,"Heel jaar")</f>
        <v>0</v>
      </c>
      <c r="G6" s="220">
        <f>SUMIFS(Data!$H:$H,Data!$G:$G,"Gasverbruik",Data!$O:$O,$B6,Data!$D:$D,G$4,Data!$E:$E,"Heel jaar")</f>
        <v>0</v>
      </c>
      <c r="H6" s="220">
        <f>SUMIFS(Data!$H:$H,Data!$G:$G,"Gasverbruik",Data!$O:$O,$B6,Data!$D:$D,H$4,Data!$E:$E,"Heel jaar")</f>
        <v>0</v>
      </c>
      <c r="I6" s="220">
        <f>SUMIFS(Data!$H:$H,Data!$G:$G,"Gasverbruik",Data!$O:$O,$B6,Data!$D:$D,I$4,Data!$E:$E,"Heel jaar")</f>
        <v>0</v>
      </c>
    </row>
    <row r="7" spans="2:9" ht="16" thickTop="1" thickBot="1" x14ac:dyDescent="0.2">
      <c r="B7" s="65" t="s">
        <v>134</v>
      </c>
      <c r="C7" s="220">
        <f>SUMIFS(Data!$H:$H,Data!$G:$G,"Gasverbruik",Data!$O:$O,$B7,Data!$D:$D,C$4,Data!$E:$E,"Heel jaar")</f>
        <v>423364</v>
      </c>
      <c r="D7" s="220">
        <f>SUMIFS(Data!$H:$H,Data!$G:$G,"Gasverbruik",Data!$O:$O,$B7,Data!$D:$D,D$4,Data!$E:$E,"Heel jaar")</f>
        <v>447554</v>
      </c>
      <c r="E7" s="220">
        <f>SUMIFS(Data!$H:$H,Data!$G:$G,"Gasverbruik",Data!$O:$O,$B7,Data!$D:$D,E$4,Data!$E:$E,"Heel jaar")</f>
        <v>421887</v>
      </c>
      <c r="F7" s="220">
        <f>SUMIFS(Data!$H:$H,Data!$G:$G,"Gasverbruik",Data!$O:$O,$B7,Data!$D:$D,F$4,Data!$E:$E,"Heel jaar")</f>
        <v>0</v>
      </c>
      <c r="G7" s="220">
        <f>SUMIFS(Data!$H:$H,Data!$G:$G,"Gasverbruik",Data!$O:$O,$B7,Data!$D:$D,G$4,Data!$E:$E,"Heel jaar")</f>
        <v>0</v>
      </c>
      <c r="H7" s="220">
        <f>SUMIFS(Data!$H:$H,Data!$G:$G,"Gasverbruik",Data!$O:$O,$B7,Data!$D:$D,H$4,Data!$E:$E,"Heel jaar")</f>
        <v>0</v>
      </c>
      <c r="I7" s="220">
        <f>SUMIFS(Data!$H:$H,Data!$G:$G,"Gasverbruik",Data!$O:$O,$B7,Data!$D:$D,I$4,Data!$E:$E,"Heel jaar")</f>
        <v>0</v>
      </c>
    </row>
    <row r="8" spans="2:9" ht="16" thickTop="1" thickBot="1" x14ac:dyDescent="0.2">
      <c r="B8" s="65" t="s">
        <v>135</v>
      </c>
      <c r="C8" s="220">
        <f>SUMIFS(Data!$H:$H,Data!$G:$G,"Gasverbruik",Data!$O:$O,$B8,Data!$D:$D,C$4,Data!$E:$E,"Heel jaar")</f>
        <v>327133</v>
      </c>
      <c r="D8" s="220">
        <f>SUMIFS(Data!$H:$H,Data!$G:$G,"Gasverbruik",Data!$O:$O,$B8,Data!$D:$D,D$4,Data!$E:$E,"Heel jaar")</f>
        <v>924165</v>
      </c>
      <c r="E8" s="220">
        <f>SUMIFS(Data!$H:$H,Data!$G:$G,"Gasverbruik",Data!$O:$O,$B8,Data!$D:$D,E$4,Data!$E:$E,"Heel jaar")</f>
        <v>1028829</v>
      </c>
      <c r="F8" s="220">
        <f>SUMIFS(Data!$H:$H,Data!$G:$G,"Gasverbruik",Data!$O:$O,$B8,Data!$D:$D,F$4,Data!$E:$E,"Heel jaar")</f>
        <v>0</v>
      </c>
      <c r="G8" s="220">
        <f>SUMIFS(Data!$H:$H,Data!$G:$G,"Gasverbruik",Data!$O:$O,$B8,Data!$D:$D,G$4,Data!$E:$E,"Heel jaar")</f>
        <v>0</v>
      </c>
      <c r="H8" s="220">
        <f>SUMIFS(Data!$H:$H,Data!$G:$G,"Gasverbruik",Data!$O:$O,$B8,Data!$D:$D,H$4,Data!$E:$E,"Heel jaar")</f>
        <v>0</v>
      </c>
      <c r="I8" s="220">
        <f>SUMIFS(Data!$H:$H,Data!$G:$G,"Gasverbruik",Data!$O:$O,$B8,Data!$D:$D,I$4,Data!$E:$E,"Heel jaar")</f>
        <v>0</v>
      </c>
    </row>
    <row r="9" spans="2:9" ht="16" thickTop="1" thickBot="1" x14ac:dyDescent="0.2">
      <c r="B9" s="65" t="s">
        <v>117</v>
      </c>
      <c r="C9" s="220">
        <f>SUMIFS(Data!$H:$H,Data!$G:$G,"Gasverbruik",Data!$O:$O,$B9,Data!$D:$D,C$4,Data!$E:$E,"Heel jaar")</f>
        <v>32036</v>
      </c>
      <c r="D9" s="220">
        <f>SUMIFS(Data!$H:$H,Data!$G:$G,"Gasverbruik",Data!$O:$O,$B9,Data!$D:$D,D$4,Data!$E:$E,"Heel jaar")</f>
        <v>19840</v>
      </c>
      <c r="E9" s="220">
        <f>SUMIFS(Data!$H:$H,Data!$G:$G,"Gasverbruik",Data!$O:$O,$B9,Data!$D:$D,E$4,Data!$E:$E,"Heel jaar")</f>
        <v>16562</v>
      </c>
      <c r="F9" s="220">
        <f>SUMIFS(Data!$H:$H,Data!$G:$G,"Gasverbruik",Data!$O:$O,$B9,Data!$D:$D,F$4,Data!$E:$E,"Heel jaar")</f>
        <v>0</v>
      </c>
      <c r="G9" s="220">
        <f>SUMIFS(Data!$H:$H,Data!$G:$G,"Gasverbruik",Data!$O:$O,$B9,Data!$D:$D,G$4,Data!$E:$E,"Heel jaar")</f>
        <v>0</v>
      </c>
      <c r="H9" s="220">
        <f>SUMIFS(Data!$H:$H,Data!$G:$G,"Gasverbruik",Data!$O:$O,$B9,Data!$D:$D,H$4,Data!$E:$E,"Heel jaar")</f>
        <v>0</v>
      </c>
      <c r="I9" s="220">
        <f>SUMIFS(Data!$H:$H,Data!$G:$G,"Gasverbruik",Data!$O:$O,$B9,Data!$D:$D,I$4,Data!$E:$E,"Heel jaar")</f>
        <v>0</v>
      </c>
    </row>
    <row r="10" spans="2:9" ht="16" thickTop="1" thickBot="1" x14ac:dyDescent="0.2">
      <c r="B10" s="65" t="s">
        <v>126</v>
      </c>
      <c r="C10" s="220">
        <f>SUMIFS(Data!$H:$H,Data!$G:$G,"Gasverbruik",Data!$O:$O,$B10,Data!$D:$D,C$4,Data!$E:$E,"Heel jaar")</f>
        <v>55816</v>
      </c>
      <c r="D10" s="220">
        <f>SUMIFS(Data!$H:$H,Data!$G:$G,"Gasverbruik",Data!$O:$O,$B10,Data!$D:$D,D$4,Data!$E:$E,"Heel jaar")</f>
        <v>58378</v>
      </c>
      <c r="E10" s="220">
        <f>SUMIFS(Data!$H:$H,Data!$G:$G,"Gasverbruik",Data!$O:$O,$B10,Data!$D:$D,E$4,Data!$E:$E,"Heel jaar")</f>
        <v>80318</v>
      </c>
      <c r="F10" s="220">
        <f>SUMIFS(Data!$H:$H,Data!$G:$G,"Gasverbruik",Data!$O:$O,$B10,Data!$D:$D,F$4,Data!$E:$E,"Heel jaar")</f>
        <v>0</v>
      </c>
      <c r="G10" s="220">
        <f>SUMIFS(Data!$H:$H,Data!$G:$G,"Gasverbruik",Data!$O:$O,$B10,Data!$D:$D,G$4,Data!$E:$E,"Heel jaar")</f>
        <v>0</v>
      </c>
      <c r="H10" s="220">
        <f>SUMIFS(Data!$H:$H,Data!$G:$G,"Gasverbruik",Data!$O:$O,$B10,Data!$D:$D,H$4,Data!$E:$E,"Heel jaar")</f>
        <v>0</v>
      </c>
      <c r="I10" s="220">
        <f>SUMIFS(Data!$H:$H,Data!$G:$G,"Gasverbruik",Data!$O:$O,$B10,Data!$D:$D,I$4,Data!$E:$E,"Heel jaar")</f>
        <v>0</v>
      </c>
    </row>
    <row r="11" spans="2:9" ht="16" thickTop="1" thickBot="1" x14ac:dyDescent="0.2">
      <c r="B11" s="65" t="s">
        <v>112</v>
      </c>
      <c r="C11" s="220">
        <f>SUMIFS(Data!$H:$H,Data!$G:$G,"Gasverbruik",Data!$O:$O,$B11,Data!$D:$D,C$4,Data!$E:$E,"Heel jaar")</f>
        <v>56656</v>
      </c>
      <c r="D11" s="220">
        <f>SUMIFS(Data!$H:$H,Data!$G:$G,"Gasverbruik",Data!$O:$O,$B11,Data!$D:$D,D$4,Data!$E:$E,"Heel jaar")</f>
        <v>64429</v>
      </c>
      <c r="E11" s="220">
        <f>SUMIFS(Data!$H:$H,Data!$G:$G,"Gasverbruik",Data!$O:$O,$B11,Data!$D:$D,E$4,Data!$E:$E,"Heel jaar")</f>
        <v>37791</v>
      </c>
      <c r="F11" s="220">
        <f>SUMIFS(Data!$H:$H,Data!$G:$G,"Gasverbruik",Data!$O:$O,$B11,Data!$D:$D,F$4,Data!$E:$E,"Heel jaar")</f>
        <v>0</v>
      </c>
      <c r="G11" s="220">
        <f>SUMIFS(Data!$H:$H,Data!$G:$G,"Gasverbruik",Data!$O:$O,$B11,Data!$D:$D,G$4,Data!$E:$E,"Heel jaar")</f>
        <v>0</v>
      </c>
      <c r="H11" s="220">
        <f>SUMIFS(Data!$H:$H,Data!$G:$G,"Gasverbruik",Data!$O:$O,$B11,Data!$D:$D,H$4,Data!$E:$E,"Heel jaar")</f>
        <v>0</v>
      </c>
      <c r="I11" s="220">
        <f>SUMIFS(Data!$H:$H,Data!$G:$G,"Gasverbruik",Data!$O:$O,$B11,Data!$D:$D,I$4,Data!$E:$E,"Heel jaar")</f>
        <v>0</v>
      </c>
    </row>
    <row r="12" spans="2:9" ht="16" thickTop="1" thickBot="1" x14ac:dyDescent="0.2">
      <c r="B12" s="65" t="s">
        <v>101</v>
      </c>
      <c r="C12" s="220">
        <f>SUMIFS(Data!$H:$H,Data!$G:$G,"Gasverbruik",Data!$O:$O,$B12,Data!$D:$D,C$4,Data!$E:$E,"Heel jaar")</f>
        <v>3913.0519999999997</v>
      </c>
      <c r="D12" s="220">
        <f>SUMIFS(Data!$H:$H,Data!$G:$G,"Gasverbruik",Data!$O:$O,$B12,Data!$D:$D,D$4,Data!$E:$E,"Heel jaar")</f>
        <v>3813.2379999999998</v>
      </c>
      <c r="E12" s="220">
        <f>SUMIFS(Data!$H:$H,Data!$G:$G,"Gasverbruik",Data!$O:$O,$B12,Data!$D:$D,E$4,Data!$E:$E,"Heel jaar")</f>
        <v>3951.0899999999997</v>
      </c>
      <c r="F12" s="220">
        <f>SUMIFS(Data!$H:$H,Data!$G:$G,"Gasverbruik",Data!$O:$O,$B12,Data!$D:$D,F$4,Data!$E:$E,"Heel jaar")</f>
        <v>0</v>
      </c>
      <c r="G12" s="220">
        <f>SUMIFS(Data!$H:$H,Data!$G:$G,"Gasverbruik",Data!$O:$O,$B12,Data!$D:$D,G$4,Data!$E:$E,"Heel jaar")</f>
        <v>0</v>
      </c>
      <c r="H12" s="220">
        <f>SUMIFS(Data!$H:$H,Data!$G:$G,"Gasverbruik",Data!$O:$O,$B12,Data!$D:$D,H$4,Data!$E:$E,"Heel jaar")</f>
        <v>0</v>
      </c>
      <c r="I12" s="220">
        <f>SUMIFS(Data!$H:$H,Data!$G:$G,"Gasverbruik",Data!$O:$O,$B12,Data!$D:$D,I$4,Data!$E:$E,"Heel jaar")</f>
        <v>0</v>
      </c>
    </row>
    <row r="13" spans="2:9" ht="16" thickTop="1" thickBot="1" x14ac:dyDescent="0.2">
      <c r="B13" s="65" t="s">
        <v>111</v>
      </c>
      <c r="C13" s="220">
        <f>SUMIFS(Data!$H:$H,Data!$G:$G,"Gasverbruik",Data!$O:$O,$B13,Data!$D:$D,C$4,Data!$E:$E,"Heel jaar")</f>
        <v>13457.973</v>
      </c>
      <c r="D13" s="220">
        <f>SUMIFS(Data!$H:$H,Data!$G:$G,"Gasverbruik",Data!$O:$O,$B13,Data!$D:$D,D$4,Data!$E:$E,"Heel jaar")</f>
        <v>15838.368</v>
      </c>
      <c r="E13" s="220">
        <f>SUMIFS(Data!$H:$H,Data!$G:$G,"Gasverbruik",Data!$O:$O,$B13,Data!$D:$D,E$4,Data!$E:$E,"Heel jaar")</f>
        <v>17889.87</v>
      </c>
      <c r="F13" s="220">
        <f>SUMIFS(Data!$H:$H,Data!$G:$G,"Gasverbruik",Data!$O:$O,$B13,Data!$D:$D,F$4,Data!$E:$E,"Heel jaar")</f>
        <v>0</v>
      </c>
      <c r="G13" s="220">
        <f>SUMIFS(Data!$H:$H,Data!$G:$G,"Gasverbruik",Data!$O:$O,$B13,Data!$D:$D,G$4,Data!$E:$E,"Heel jaar")</f>
        <v>0</v>
      </c>
      <c r="H13" s="220">
        <f>SUMIFS(Data!$H:$H,Data!$G:$G,"Gasverbruik",Data!$O:$O,$B13,Data!$D:$D,H$4,Data!$E:$E,"Heel jaar")</f>
        <v>0</v>
      </c>
      <c r="I13" s="220">
        <f>SUMIFS(Data!$H:$H,Data!$G:$G,"Gasverbruik",Data!$O:$O,$B13,Data!$D:$D,I$4,Data!$E:$E,"Heel jaar")</f>
        <v>0</v>
      </c>
    </row>
    <row r="17" spans="2:9" ht="15" thickBot="1" x14ac:dyDescent="0.2"/>
    <row r="18" spans="2:9" ht="18" thickTop="1" thickBot="1" x14ac:dyDescent="0.2">
      <c r="B18" s="382" t="s">
        <v>210</v>
      </c>
      <c r="C18" s="383"/>
      <c r="D18" s="383"/>
      <c r="E18" s="383"/>
      <c r="F18" s="383"/>
      <c r="G18" s="383"/>
      <c r="H18" s="383"/>
      <c r="I18" s="383"/>
    </row>
    <row r="19" spans="2:9" ht="16" thickTop="1" thickBot="1" x14ac:dyDescent="0.2">
      <c r="B19" s="80" t="s">
        <v>116</v>
      </c>
      <c r="C19" s="80">
        <v>2019</v>
      </c>
      <c r="D19" s="80">
        <f t="shared" ref="D19:I19" si="1">C19+1</f>
        <v>2020</v>
      </c>
      <c r="E19" s="80">
        <f t="shared" si="1"/>
        <v>2021</v>
      </c>
      <c r="F19" s="80">
        <f t="shared" si="1"/>
        <v>2022</v>
      </c>
      <c r="G19" s="80">
        <f t="shared" si="1"/>
        <v>2023</v>
      </c>
      <c r="H19" s="80">
        <f t="shared" si="1"/>
        <v>2024</v>
      </c>
      <c r="I19" s="80">
        <f t="shared" si="1"/>
        <v>2025</v>
      </c>
    </row>
    <row r="20" spans="2:9" ht="16" thickTop="1" thickBot="1" x14ac:dyDescent="0.2">
      <c r="B20" s="65" t="s">
        <v>131</v>
      </c>
      <c r="C20" s="220">
        <f>SUMIFS(Data!$H:$H,Data!$G:$G,"Elektriciteitsverbruik - gr*",Data!$O:$O,$B20,Data!$D:$D,C$19,Data!$E:$E,"Heel jaar")</f>
        <v>1946765</v>
      </c>
      <c r="D20" s="220">
        <f>SUMIFS(Data!$H:$H,Data!$G:$G,"Elektriciteitsverbruik - gr*",Data!$O:$O,$B20,Data!$D:$D,D$19,Data!$E:$E,"Heel jaar")</f>
        <v>2451325</v>
      </c>
      <c r="E20" s="220">
        <f>SUMIFS(Data!$H:$H,Data!$G:$G,"Elektriciteitsverbruik - gr*",Data!$O:$O,$B20,Data!$D:$D,E$19,Data!$E:$E,"Heel jaar")</f>
        <v>2245773</v>
      </c>
      <c r="F20" s="220">
        <f>SUMIFS(Data!$H:$H,Data!$G:$G,"Elektriciteitsverbruik - gr*",Data!$O:$O,$B20,Data!$D:$D,F$19,Data!$E:$E,"Heel jaar")</f>
        <v>0</v>
      </c>
      <c r="G20" s="220">
        <f>SUMIFS(Data!$H:$H,Data!$G:$G,"Elektriciteitsverbruik - gr*",Data!$O:$O,$B20,Data!$D:$D,G$19,Data!$E:$E,"Heel jaar")</f>
        <v>0</v>
      </c>
      <c r="H20" s="220">
        <f>SUMIFS(Data!$H:$H,Data!$G:$G,"Elektriciteitsverbruik - gr*",Data!$O:$O,$B20,Data!$D:$D,H$19,Data!$E:$E,"Heel jaar")</f>
        <v>0</v>
      </c>
      <c r="I20" s="220">
        <f>SUMIFS(Data!$H:$H,Data!$G:$G,"Elektriciteitsverbruik - gr*",Data!$O:$O,$B20,Data!$D:$D,I$19,Data!$E:$E,"Heel jaar")</f>
        <v>0</v>
      </c>
    </row>
    <row r="21" spans="2:9" ht="16" thickTop="1" thickBot="1" x14ac:dyDescent="0.2">
      <c r="B21" s="65" t="s">
        <v>133</v>
      </c>
      <c r="C21" s="220">
        <f>SUMIFS(Data!$H:$H,Data!$G:$G,"Elektriciteitsverbruik - gr*",Data!$O:$O,$B21,Data!$D:$D,C$19,Data!$E:$E,"Heel jaar")</f>
        <v>9625157</v>
      </c>
      <c r="D21" s="220">
        <f>SUMIFS(Data!$H:$H,Data!$G:$G,"Elektriciteitsverbruik - gr*",Data!$O:$O,$B21,Data!$D:$D,D$19,Data!$E:$E,"Heel jaar")</f>
        <v>9641890</v>
      </c>
      <c r="E21" s="220">
        <f>SUMIFS(Data!$H:$H,Data!$G:$G,"Elektriciteitsverbruik - gr*",Data!$O:$O,$B21,Data!$D:$D,E$19,Data!$E:$E,"Heel jaar")</f>
        <v>15271504</v>
      </c>
      <c r="F21" s="220">
        <f>SUMIFS(Data!$H:$H,Data!$G:$G,"Elektriciteitsverbruik - gr*",Data!$O:$O,$B21,Data!$D:$D,F$19,Data!$E:$E,"Heel jaar")</f>
        <v>0</v>
      </c>
      <c r="G21" s="220">
        <f>SUMIFS(Data!$H:$H,Data!$G:$G,"Elektriciteitsverbruik - gr*",Data!$O:$O,$B21,Data!$D:$D,G$19,Data!$E:$E,"Heel jaar")</f>
        <v>0</v>
      </c>
      <c r="H21" s="220">
        <f>SUMIFS(Data!$H:$H,Data!$G:$G,"Elektriciteitsverbruik - gr*",Data!$O:$O,$B21,Data!$D:$D,H$19,Data!$E:$E,"Heel jaar")</f>
        <v>0</v>
      </c>
      <c r="I21" s="220">
        <f>SUMIFS(Data!$H:$H,Data!$G:$G,"Elektriciteitsverbruik - gr*",Data!$O:$O,$B21,Data!$D:$D,I$19,Data!$E:$E,"Heel jaar")</f>
        <v>0</v>
      </c>
    </row>
    <row r="22" spans="2:9" ht="16" thickTop="1" thickBot="1" x14ac:dyDescent="0.2">
      <c r="B22" s="65" t="s">
        <v>134</v>
      </c>
      <c r="C22" s="220">
        <f>SUMIFS(Data!$H:$H,Data!$G:$G,"Elektriciteitsverbruik - gr*",Data!$O:$O,$B22,Data!$D:$D,C$19,Data!$E:$E,"Heel jaar")</f>
        <v>9746444</v>
      </c>
      <c r="D22" s="220">
        <f>SUMIFS(Data!$H:$H,Data!$G:$G,"Elektriciteitsverbruik - gr*",Data!$O:$O,$B22,Data!$D:$D,D$19,Data!$E:$E,"Heel jaar")</f>
        <v>8914312</v>
      </c>
      <c r="E22" s="220">
        <f>SUMIFS(Data!$H:$H,Data!$G:$G,"Elektriciteitsverbruik - gr*",Data!$O:$O,$B22,Data!$D:$D,E$19,Data!$E:$E,"Heel jaar")</f>
        <v>8695438</v>
      </c>
      <c r="F22" s="220">
        <f>SUMIFS(Data!$H:$H,Data!$G:$G,"Elektriciteitsverbruik - gr*",Data!$O:$O,$B22,Data!$D:$D,F$19,Data!$E:$E,"Heel jaar")</f>
        <v>0</v>
      </c>
      <c r="G22" s="220">
        <f>SUMIFS(Data!$H:$H,Data!$G:$G,"Elektriciteitsverbruik - gr*",Data!$O:$O,$B22,Data!$D:$D,G$19,Data!$E:$E,"Heel jaar")</f>
        <v>0</v>
      </c>
      <c r="H22" s="220">
        <f>SUMIFS(Data!$H:$H,Data!$G:$G,"Elektriciteitsverbruik - gr*",Data!$O:$O,$B22,Data!$D:$D,H$19,Data!$E:$E,"Heel jaar")</f>
        <v>0</v>
      </c>
      <c r="I22" s="220">
        <f>SUMIFS(Data!$H:$H,Data!$G:$G,"Elektriciteitsverbruik - gr*",Data!$O:$O,$B22,Data!$D:$D,I$19,Data!$E:$E,"Heel jaar")</f>
        <v>0</v>
      </c>
    </row>
    <row r="23" spans="2:9" ht="16" thickTop="1" thickBot="1" x14ac:dyDescent="0.2">
      <c r="B23" s="65" t="s">
        <v>135</v>
      </c>
      <c r="C23" s="220">
        <f>SUMIFS(Data!$H:$H,Data!$G:$G,"Elektriciteitsverbruik - gr*",Data!$O:$O,$B23,Data!$D:$D,C$19,Data!$E:$E,"Heel jaar")</f>
        <v>24116233</v>
      </c>
      <c r="D23" s="220">
        <f>SUMIFS(Data!$H:$H,Data!$G:$G,"Elektriciteitsverbruik - gr*",Data!$O:$O,$B23,Data!$D:$D,D$19,Data!$E:$E,"Heel jaar")</f>
        <v>36226744</v>
      </c>
      <c r="E23" s="220">
        <f>SUMIFS(Data!$H:$H,Data!$G:$G,"Elektriciteitsverbruik - gr*",Data!$O:$O,$B23,Data!$D:$D,E$19,Data!$E:$E,"Heel jaar")</f>
        <v>37075339</v>
      </c>
      <c r="F23" s="220">
        <f>SUMIFS(Data!$H:$H,Data!$G:$G,"Elektriciteitsverbruik - gr*",Data!$O:$O,$B23,Data!$D:$D,F$19,Data!$E:$E,"Heel jaar")</f>
        <v>0</v>
      </c>
      <c r="G23" s="220">
        <f>SUMIFS(Data!$H:$H,Data!$G:$G,"Elektriciteitsverbruik - gr*",Data!$O:$O,$B23,Data!$D:$D,G$19,Data!$E:$E,"Heel jaar")</f>
        <v>0</v>
      </c>
      <c r="H23" s="220">
        <f>SUMIFS(Data!$H:$H,Data!$G:$G,"Elektriciteitsverbruik - gr*",Data!$O:$O,$B23,Data!$D:$D,H$19,Data!$E:$E,"Heel jaar")</f>
        <v>0</v>
      </c>
      <c r="I23" s="220">
        <f>SUMIFS(Data!$H:$H,Data!$G:$G,"Elektriciteitsverbruik - gr*",Data!$O:$O,$B23,Data!$D:$D,I$19,Data!$E:$E,"Heel jaar")</f>
        <v>0</v>
      </c>
    </row>
    <row r="24" spans="2:9" ht="16" thickTop="1" thickBot="1" x14ac:dyDescent="0.2">
      <c r="B24" s="65" t="s">
        <v>117</v>
      </c>
      <c r="C24" s="220">
        <f>SUMIFS(Data!$H:$H,Data!$G:$G,"Elektriciteitsverbruik - gr*",Data!$O:$O,$B24,Data!$D:$D,C$19,Data!$E:$E,"Heel jaar")</f>
        <v>5406947</v>
      </c>
      <c r="D24" s="220">
        <f>SUMIFS(Data!$H:$H,Data!$G:$G,"Elektriciteitsverbruik - gr*",Data!$O:$O,$B24,Data!$D:$D,D$19,Data!$E:$E,"Heel jaar")</f>
        <v>6160827</v>
      </c>
      <c r="E24" s="220">
        <f>SUMIFS(Data!$H:$H,Data!$G:$G,"Elektriciteitsverbruik - gr*",Data!$O:$O,$B24,Data!$D:$D,E$19,Data!$E:$E,"Heel jaar")</f>
        <v>5441254</v>
      </c>
      <c r="F24" s="220">
        <f>SUMIFS(Data!$H:$H,Data!$G:$G,"Elektriciteitsverbruik - gr*",Data!$O:$O,$B24,Data!$D:$D,F$19,Data!$E:$E,"Heel jaar")</f>
        <v>0</v>
      </c>
      <c r="G24" s="220">
        <f>SUMIFS(Data!$H:$H,Data!$G:$G,"Elektriciteitsverbruik - gr*",Data!$O:$O,$B24,Data!$D:$D,G$19,Data!$E:$E,"Heel jaar")</f>
        <v>0</v>
      </c>
      <c r="H24" s="220">
        <f>SUMIFS(Data!$H:$H,Data!$G:$G,"Elektriciteitsverbruik - gr*",Data!$O:$O,$B24,Data!$D:$D,H$19,Data!$E:$E,"Heel jaar")</f>
        <v>0</v>
      </c>
      <c r="I24" s="220">
        <f>SUMIFS(Data!$H:$H,Data!$G:$G,"Elektriciteitsverbruik - gr*",Data!$O:$O,$B24,Data!$D:$D,I$19,Data!$E:$E,"Heel jaar")</f>
        <v>0</v>
      </c>
    </row>
    <row r="25" spans="2:9" ht="16" thickTop="1" thickBot="1" x14ac:dyDescent="0.2">
      <c r="B25" s="65" t="s">
        <v>126</v>
      </c>
      <c r="C25" s="220">
        <f>SUMIFS(Data!$H:$H,Data!$G:$G,"Elektriciteitsverbruik - gr*",Data!$O:$O,$B25,Data!$D:$D,C$19,Data!$E:$E,"Heel jaar")</f>
        <v>538560</v>
      </c>
      <c r="D25" s="220">
        <f>SUMIFS(Data!$H:$H,Data!$G:$G,"Elektriciteitsverbruik - gr*",Data!$O:$O,$B25,Data!$D:$D,D$19,Data!$E:$E,"Heel jaar")</f>
        <v>451101</v>
      </c>
      <c r="E25" s="220">
        <f>SUMIFS(Data!$H:$H,Data!$G:$G,"Elektriciteitsverbruik - gr*",Data!$O:$O,$B25,Data!$D:$D,E$19,Data!$E:$E,"Heel jaar")</f>
        <v>444195</v>
      </c>
      <c r="F25" s="220">
        <f>SUMIFS(Data!$H:$H,Data!$G:$G,"Elektriciteitsverbruik - gr*",Data!$O:$O,$B25,Data!$D:$D,F$19,Data!$E:$E,"Heel jaar")</f>
        <v>0</v>
      </c>
      <c r="G25" s="220">
        <f>SUMIFS(Data!$H:$H,Data!$G:$G,"Elektriciteitsverbruik - gr*",Data!$O:$O,$B25,Data!$D:$D,G$19,Data!$E:$E,"Heel jaar")</f>
        <v>0</v>
      </c>
      <c r="H25" s="220">
        <f>SUMIFS(Data!$H:$H,Data!$G:$G,"Elektriciteitsverbruik - gr*",Data!$O:$O,$B25,Data!$D:$D,H$19,Data!$E:$E,"Heel jaar")</f>
        <v>0</v>
      </c>
      <c r="I25" s="220">
        <f>SUMIFS(Data!$H:$H,Data!$G:$G,"Elektriciteitsverbruik - gr*",Data!$O:$O,$B25,Data!$D:$D,I$19,Data!$E:$E,"Heel jaar")</f>
        <v>0</v>
      </c>
    </row>
    <row r="26" spans="2:9" ht="16" thickTop="1" thickBot="1" x14ac:dyDescent="0.2">
      <c r="B26" s="65" t="s">
        <v>112</v>
      </c>
      <c r="C26" s="220">
        <f>SUMIFS(Data!$H:$H,Data!$G:$G,"Elektriciteitsverbruik - gr*",Data!$O:$O,$B26,Data!$D:$D,C$19,Data!$E:$E,"Heel jaar")</f>
        <v>4631800</v>
      </c>
      <c r="D26" s="220">
        <f>SUMIFS(Data!$H:$H,Data!$G:$G,"Elektriciteitsverbruik - gr*",Data!$O:$O,$B26,Data!$D:$D,D$19,Data!$E:$E,"Heel jaar")</f>
        <v>4742600</v>
      </c>
      <c r="E26" s="220">
        <f>SUMIFS(Data!$H:$H,Data!$G:$G,"Elektriciteitsverbruik - gr*",Data!$O:$O,$B26,Data!$D:$D,E$19,Data!$E:$E,"Heel jaar")</f>
        <v>2875000</v>
      </c>
      <c r="F26" s="220">
        <f>SUMIFS(Data!$H:$H,Data!$G:$G,"Elektriciteitsverbruik - gr*",Data!$O:$O,$B26,Data!$D:$D,F$19,Data!$E:$E,"Heel jaar")</f>
        <v>0</v>
      </c>
      <c r="G26" s="220">
        <f>SUMIFS(Data!$H:$H,Data!$G:$G,"Elektriciteitsverbruik - gr*",Data!$O:$O,$B26,Data!$D:$D,G$19,Data!$E:$E,"Heel jaar")</f>
        <v>0</v>
      </c>
      <c r="H26" s="220">
        <f>SUMIFS(Data!$H:$H,Data!$G:$G,"Elektriciteitsverbruik - gr*",Data!$O:$O,$B26,Data!$D:$D,H$19,Data!$E:$E,"Heel jaar")</f>
        <v>0</v>
      </c>
      <c r="I26" s="220">
        <f>SUMIFS(Data!$H:$H,Data!$G:$G,"Elektriciteitsverbruik - gr*",Data!$O:$O,$B26,Data!$D:$D,I$19,Data!$E:$E,"Heel jaar")</f>
        <v>0</v>
      </c>
    </row>
    <row r="27" spans="2:9" ht="16" thickTop="1" thickBot="1" x14ac:dyDescent="0.2">
      <c r="B27" s="65" t="s">
        <v>101</v>
      </c>
      <c r="C27" s="220">
        <f>SUMIFS(Data!$H:$H,Data!$G:$G,"Elektriciteitsverbruik - gr*",Data!$O:$O,$B27,Data!$D:$D,C$19,Data!$E:$E,"Heel jaar")</f>
        <v>92629.393999999986</v>
      </c>
      <c r="D27" s="220">
        <f>SUMIFS(Data!$H:$H,Data!$G:$G,"Elektriciteitsverbruik - gr*",Data!$O:$O,$B27,Data!$D:$D,D$19,Data!$E:$E,"Heel jaar")</f>
        <v>84542.743999999992</v>
      </c>
      <c r="E27" s="220">
        <f>SUMIFS(Data!$H:$H,Data!$G:$G,"Elektriciteitsverbruik - gr*",Data!$O:$O,$B27,Data!$D:$D,E$19,Data!$E:$E,"Heel jaar")</f>
        <v>72582.795999999988</v>
      </c>
      <c r="F27" s="220">
        <f>SUMIFS(Data!$H:$H,Data!$G:$G,"Elektriciteitsverbruik - gr*",Data!$O:$O,$B27,Data!$D:$D,F$19,Data!$E:$E,"Heel jaar")</f>
        <v>0</v>
      </c>
      <c r="G27" s="220">
        <f>SUMIFS(Data!$H:$H,Data!$G:$G,"Elektriciteitsverbruik - gr*",Data!$O:$O,$B27,Data!$D:$D,G$19,Data!$E:$E,"Heel jaar")</f>
        <v>0</v>
      </c>
      <c r="H27" s="220">
        <f>SUMIFS(Data!$H:$H,Data!$G:$G,"Elektriciteitsverbruik - gr*",Data!$O:$O,$B27,Data!$D:$D,H$19,Data!$E:$E,"Heel jaar")</f>
        <v>0</v>
      </c>
      <c r="I27" s="220">
        <f>SUMIFS(Data!$H:$H,Data!$G:$G,"Elektriciteitsverbruik - gr*",Data!$O:$O,$B27,Data!$D:$D,I$19,Data!$E:$E,"Heel jaar")</f>
        <v>0</v>
      </c>
    </row>
    <row r="28" spans="2:9" ht="16" thickTop="1" thickBot="1" x14ac:dyDescent="0.2">
      <c r="B28" s="65" t="s">
        <v>111</v>
      </c>
      <c r="C28" s="220">
        <f>SUMIFS(Data!$H:$H,Data!$G:$G,"Elektriciteitsverbruik - gr*",Data!$O:$O,$B28,Data!$D:$D,C$19,Data!$E:$E,"Heel jaar")</f>
        <v>134573.29200000002</v>
      </c>
      <c r="D28" s="220">
        <f>SUMIFS(Data!$H:$H,Data!$G:$G,"Elektriciteitsverbruik - gr*",Data!$O:$O,$B28,Data!$D:$D,D$19,Data!$E:$E,"Heel jaar")</f>
        <v>141087.77100000001</v>
      </c>
      <c r="E28" s="220">
        <f>SUMIFS(Data!$H:$H,Data!$G:$G,"Elektriciteitsverbruik - gr*",Data!$O:$O,$B28,Data!$D:$D,E$19,Data!$E:$E,"Heel jaar")</f>
        <v>143178.01199999999</v>
      </c>
      <c r="F28" s="220">
        <f>SUMIFS(Data!$H:$H,Data!$G:$G,"Elektriciteitsverbruik - gr*",Data!$O:$O,$B28,Data!$D:$D,F$19,Data!$E:$E,"Heel jaar")</f>
        <v>0</v>
      </c>
      <c r="G28" s="220">
        <f>SUMIFS(Data!$H:$H,Data!$G:$G,"Elektriciteitsverbruik - gr*",Data!$O:$O,$B28,Data!$D:$D,G$19,Data!$E:$E,"Heel jaar")</f>
        <v>0</v>
      </c>
      <c r="H28" s="220">
        <f>SUMIFS(Data!$H:$H,Data!$G:$G,"Elektriciteitsverbruik - gr*",Data!$O:$O,$B28,Data!$D:$D,H$19,Data!$E:$E,"Heel jaar")</f>
        <v>0</v>
      </c>
      <c r="I28" s="220">
        <f>SUMIFS(Data!$H:$H,Data!$G:$G,"Elektriciteitsverbruik - gr*",Data!$O:$O,$B28,Data!$D:$D,I$19,Data!$E:$E,"Heel jaar")</f>
        <v>0</v>
      </c>
    </row>
  </sheetData>
  <mergeCells count="2">
    <mergeCell ref="B3:I3"/>
    <mergeCell ref="B18:I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de99d6-5ca1-4a32-a705-d3426cea1c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5E6B24524BF740A0F3C48F43E3A539" ma:contentTypeVersion="15" ma:contentTypeDescription="Een nieuw document maken." ma:contentTypeScope="" ma:versionID="3a97c4153a2a502150f85d259aa155d7">
  <xsd:schema xmlns:xsd="http://www.w3.org/2001/XMLSchema" xmlns:xs="http://www.w3.org/2001/XMLSchema" xmlns:p="http://schemas.microsoft.com/office/2006/metadata/properties" xmlns:ns2="ef098652-5a2a-44e5-a805-601e68c9d6e4" xmlns:ns3="d3de99d6-5ca1-4a32-a705-d3426cea1c9c" targetNamespace="http://schemas.microsoft.com/office/2006/metadata/properties" ma:root="true" ma:fieldsID="9d303803dfbeafec90713926cd988126" ns2:_="" ns3:_="">
    <xsd:import namespace="ef098652-5a2a-44e5-a805-601e68c9d6e4"/>
    <xsd:import namespace="d3de99d6-5ca1-4a32-a705-d3426cea1c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98652-5a2a-44e5-a805-601e68c9d6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e99d6-5ca1-4a32-a705-d3426cea1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21ce28c-4b3f-4641-9a8d-b0705de25b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A2DFC-AE80-4742-8C6E-FC29A59A0F6E}">
  <ds:schemaRefs>
    <ds:schemaRef ds:uri="http://purl.org/dc/terms/"/>
    <ds:schemaRef ds:uri="d3de99d6-5ca1-4a32-a705-d3426cea1c9c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ef098652-5a2a-44e5-a805-601e68c9d6e4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109A7FC-B535-44C8-891B-DC6933BBF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710FE-06F3-462D-8349-AE7CE500C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098652-5a2a-44e5-a805-601e68c9d6e4"/>
    <ds:schemaRef ds:uri="d3de99d6-5ca1-4a32-a705-d3426cea1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Footprints</vt:lpstr>
      <vt:lpstr>Energieverbruik in GJ</vt:lpstr>
      <vt:lpstr>Voortgang</vt:lpstr>
      <vt:lpstr>Data</vt:lpstr>
      <vt:lpstr>Input keuzevariabelen</vt:lpstr>
      <vt:lpstr>Energiebeoordelingen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</dc:creator>
  <cp:lastModifiedBy>Donna Cross</cp:lastModifiedBy>
  <cp:lastPrinted>2019-12-03T14:08:55Z</cp:lastPrinted>
  <dcterms:created xsi:type="dcterms:W3CDTF">2019-11-25T12:21:07Z</dcterms:created>
  <dcterms:modified xsi:type="dcterms:W3CDTF">2022-09-01T16:27:41Z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1825462400</vt:i4>
  </property>
  <property fmtid="{D5CDD505-2E9C-101B-9397-08002B2CF9AE}" pid="3" name="_NewReviewCycle">
    <vt:lpwstr/>
  </property>
  <property fmtid="{D5CDD505-2E9C-101B-9397-08002B2CF9AE}" pid="4" name="_EmailSubject">
    <vt:lpwstr>verificatie CO2-footprint CO2PL</vt:lpwstr>
  </property>
  <property fmtid="{D5CDD505-2E9C-101B-9397-08002B2CF9AE}" pid="5" name="_AuthorEmailDisplayName">
    <vt:lpwstr>Boetzel, Anja</vt:lpwstr>
  </property>
  <property fmtid="{D5CDD505-2E9C-101B-9397-08002B2CF9AE}" pid="6" name="_PreviousAdHocReviewCycleID">
    <vt:i4>-1137109366</vt:i4>
  </property>
  <property fmtid="{D5CDD505-2E9C-101B-9397-08002B2CF9AE}" pid="7" name="eDOCS AutoSave">
    <vt:lpwstr>20200617125950380</vt:lpwstr>
  </property>
  <property fmtid="{D5CDD505-2E9C-101B-9397-08002B2CF9AE}" pid="8" name="_AuthorEmail">
    <vt:lpwstr>aboetzel@hhdelfland.nl</vt:lpwstr>
  </property>
  <property fmtid="{D5CDD505-2E9C-101B-9397-08002B2CF9AE}" pid="9" name="_ReviewingToolsShownOnce">
    <vt:lpwstr/>
  </property>
  <property fmtid="{D5CDD505-2E9C-101B-9397-08002B2CF9AE}" pid="10" name="ContentTypeId">
    <vt:lpwstr>0x010100685E6B24524BF740A0F3C48F43E3A539</vt:lpwstr>
  </property>
  <property fmtid="{D5CDD505-2E9C-101B-9397-08002B2CF9AE}" pid="11" name="Order">
    <vt:r8>19000</vt:r8>
  </property>
  <property fmtid="{D5CDD505-2E9C-101B-9397-08002B2CF9AE}" pid="12" name="MediaServiceImageTags">
    <vt:lpwstr/>
  </property>
</Properties>
</file>