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ttps://hhdelfland-my.sharepoint.com/personal/itendonkelaar_hhdelfland_nl/Documents/"/>
    </mc:Choice>
  </mc:AlternateContent>
  <xr:revisionPtr revIDLastSave="0" documentId="8_{2E9FD4EB-C7A1-47EB-966A-D8E612BC5947}" xr6:coauthVersionLast="47" xr6:coauthVersionMax="47" xr10:uidLastSave="{00000000-0000-0000-0000-000000000000}"/>
  <bookViews>
    <workbookView xWindow="-120" yWindow="-120" windowWidth="25440" windowHeight="15390" firstSheet="3" activeTab="3" xr2:uid="{00000000-000D-0000-FFFF-FFFF00000000}"/>
    <workbookView xWindow="-120" yWindow="-120" windowWidth="25440" windowHeight="15390" firstSheet="5" activeTab="1" xr2:uid="{88B7223C-8859-A941-B0BF-B3598D5A22F4}"/>
  </bookViews>
  <sheets>
    <sheet name="CO2-emissie-inventaris" sheetId="1" r:id="rId1"/>
    <sheet name="CO2-voortgang" sheetId="4" r:id="rId2"/>
    <sheet name="Omrekening naar GJ" sheetId="7" r:id="rId3"/>
    <sheet name="Energiebeoordelingen" sheetId="6" r:id="rId4"/>
    <sheet name="Data" sheetId="3" r:id="rId5"/>
    <sheet name="Input keuzevariabelen" sheetId="2" r:id="rId6"/>
  </sheets>
  <externalReferences>
    <externalReference r:id="rId7"/>
    <externalReference r:id="rId8"/>
  </externalReferences>
  <definedNames>
    <definedName name="_xlnm._FilterDatabase" localSheetId="0" hidden="1">Data!$C$7:$P$274</definedName>
    <definedName name="_xlnm._FilterDatabase" localSheetId="1" hidden="1">Data!$C$7:$P$274</definedName>
    <definedName name="_xlnm._FilterDatabase" localSheetId="4" hidden="1">Data!$C$7:$S$274</definedName>
    <definedName name="_xlnm._FilterDatabase" localSheetId="5" hidden="1">'Input keuzevariabelen'!$B$10:$B$24</definedName>
    <definedName name="Lijst_Inkoop">OFFSET([1]Categorieën!$D$3,,,COUNTIF([1]Categorieën!$D$3:$D$27,"?*"))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0" roundtripDataSignature="AMtx7mi9VS5mYA618VdBQwS3MPzMzXqNSw=="/>
    </ext>
  </extLst>
</workbook>
</file>

<file path=xl/calcChain.xml><?xml version="1.0" encoding="utf-8"?>
<calcChain xmlns="http://schemas.openxmlformats.org/spreadsheetml/2006/main">
  <c r="D37" i="4" l="1"/>
  <c r="E37" i="4"/>
  <c r="F37" i="4"/>
  <c r="C37" i="4"/>
  <c r="J32" i="7"/>
  <c r="J31" i="7"/>
  <c r="J30" i="7"/>
  <c r="J29" i="7"/>
  <c r="J28" i="7"/>
  <c r="C32" i="7"/>
  <c r="C31" i="7"/>
  <c r="C30" i="7"/>
  <c r="C29" i="7"/>
  <c r="Y26" i="6" l="1"/>
  <c r="Z26" i="6"/>
  <c r="AA26" i="6"/>
  <c r="AB26" i="6"/>
  <c r="AC26" i="6"/>
  <c r="C33" i="1"/>
  <c r="C19" i="1"/>
  <c r="C27" i="1"/>
  <c r="C26" i="1"/>
  <c r="I167" i="3"/>
  <c r="I168" i="3"/>
  <c r="Q38" i="4"/>
  <c r="R38" i="4" s="1"/>
  <c r="S38" i="4" s="1"/>
  <c r="T38" i="4" s="1"/>
  <c r="U38" i="4" s="1"/>
  <c r="G38" i="4"/>
  <c r="H38" i="4"/>
  <c r="I38" i="4" s="1"/>
  <c r="J38" i="4" s="1"/>
  <c r="F38" i="4"/>
  <c r="D181" i="3"/>
  <c r="D182" i="3"/>
  <c r="D183" i="3"/>
  <c r="D184" i="3"/>
  <c r="I182" i="3"/>
  <c r="I179" i="3"/>
  <c r="I178" i="3"/>
  <c r="I177" i="3"/>
  <c r="I137" i="3" l="1"/>
  <c r="I175" i="3" l="1"/>
  <c r="I174" i="3"/>
  <c r="C44" i="1" l="1"/>
  <c r="C43" i="1"/>
  <c r="M26" i="1"/>
  <c r="J26" i="1"/>
  <c r="F26" i="1"/>
  <c r="F27" i="1"/>
  <c r="J27" i="1"/>
  <c r="M27" i="1"/>
  <c r="F33" i="1"/>
  <c r="I37" i="2"/>
  <c r="I135" i="3"/>
  <c r="I134" i="3"/>
  <c r="I133" i="3"/>
  <c r="I132" i="3"/>
  <c r="I131" i="3"/>
  <c r="I130" i="3"/>
  <c r="I129" i="3"/>
  <c r="I128" i="3"/>
  <c r="I127" i="3"/>
  <c r="I126" i="3"/>
  <c r="I125" i="3"/>
  <c r="I144" i="3"/>
  <c r="I98" i="3"/>
  <c r="I96" i="3"/>
  <c r="I95" i="3"/>
  <c r="I94" i="3"/>
  <c r="I93" i="3"/>
  <c r="I92" i="3"/>
  <c r="I91" i="3"/>
  <c r="I90" i="3"/>
  <c r="I89" i="3"/>
  <c r="I88" i="3"/>
  <c r="I87" i="3"/>
  <c r="I86" i="3"/>
  <c r="I85" i="3"/>
  <c r="I53" i="3"/>
  <c r="I51" i="3"/>
  <c r="I50" i="3"/>
  <c r="I49" i="3"/>
  <c r="I48" i="3"/>
  <c r="I47" i="3"/>
  <c r="I46" i="3"/>
  <c r="I45" i="3"/>
  <c r="I44" i="3"/>
  <c r="I43" i="3"/>
  <c r="I42" i="3"/>
  <c r="I41" i="3"/>
  <c r="I40" i="3"/>
  <c r="I36" i="3"/>
  <c r="I8" i="3"/>
  <c r="L44" i="1" l="1"/>
  <c r="L43" i="1"/>
  <c r="I103" i="2" l="1"/>
  <c r="J16" i="7"/>
  <c r="J17" i="7"/>
  <c r="J19" i="7"/>
  <c r="J20" i="7"/>
  <c r="C16" i="7"/>
  <c r="C20" i="7"/>
  <c r="J19" i="1"/>
  <c r="D9" i="3"/>
  <c r="J9" i="3" s="1"/>
  <c r="D10" i="3"/>
  <c r="J10" i="3" s="1"/>
  <c r="D11" i="3"/>
  <c r="J11" i="3" s="1"/>
  <c r="D12" i="3"/>
  <c r="J12" i="3" s="1"/>
  <c r="D13" i="3"/>
  <c r="J13" i="3" s="1"/>
  <c r="D14" i="3"/>
  <c r="J14" i="3" s="1"/>
  <c r="D15" i="3"/>
  <c r="J15" i="3" s="1"/>
  <c r="D16" i="3"/>
  <c r="J16" i="3" s="1"/>
  <c r="D17" i="3"/>
  <c r="J17" i="3" s="1"/>
  <c r="D18" i="3"/>
  <c r="J18" i="3" s="1"/>
  <c r="D19" i="3"/>
  <c r="J19" i="3" s="1"/>
  <c r="D20" i="3"/>
  <c r="J20" i="3" s="1"/>
  <c r="D21" i="3"/>
  <c r="J21" i="3" s="1"/>
  <c r="D22" i="3"/>
  <c r="J22" i="3" s="1"/>
  <c r="D23" i="3"/>
  <c r="J23" i="3" s="1"/>
  <c r="D24" i="3"/>
  <c r="J24" i="3" s="1"/>
  <c r="D25" i="3"/>
  <c r="J25" i="3" s="1"/>
  <c r="D26" i="3"/>
  <c r="J26" i="3" s="1"/>
  <c r="D27" i="3"/>
  <c r="J27" i="3" s="1"/>
  <c r="D28" i="3"/>
  <c r="J28" i="3" s="1"/>
  <c r="D29" i="3"/>
  <c r="J29" i="3" s="1"/>
  <c r="D30" i="3"/>
  <c r="J30" i="3" s="1"/>
  <c r="D31" i="3"/>
  <c r="J31" i="3" s="1"/>
  <c r="D32" i="3"/>
  <c r="J32" i="3" s="1"/>
  <c r="D33" i="3"/>
  <c r="J33" i="3" s="1"/>
  <c r="J25" i="1" s="1"/>
  <c r="D34" i="3"/>
  <c r="J34" i="3" s="1"/>
  <c r="D35" i="3"/>
  <c r="J35" i="3" s="1"/>
  <c r="D36" i="3"/>
  <c r="J36" i="3" s="1"/>
  <c r="D37" i="3"/>
  <c r="J37" i="3" s="1"/>
  <c r="J34" i="1" s="1"/>
  <c r="D38" i="3"/>
  <c r="J38" i="3" s="1"/>
  <c r="J35" i="1" s="1"/>
  <c r="D39" i="3"/>
  <c r="J39" i="3" s="1"/>
  <c r="D40" i="3"/>
  <c r="J40" i="3" s="1"/>
  <c r="D41" i="3"/>
  <c r="J41" i="3" s="1"/>
  <c r="D42" i="3"/>
  <c r="J42" i="3" s="1"/>
  <c r="D43" i="3"/>
  <c r="J43" i="3" s="1"/>
  <c r="D44" i="3"/>
  <c r="J44" i="3" s="1"/>
  <c r="D45" i="3"/>
  <c r="J45" i="3" s="1"/>
  <c r="D46" i="3"/>
  <c r="J46" i="3" s="1"/>
  <c r="D47" i="3"/>
  <c r="J47" i="3" s="1"/>
  <c r="D48" i="3"/>
  <c r="J48" i="3" s="1"/>
  <c r="D49" i="3"/>
  <c r="J49" i="3" s="1"/>
  <c r="D50" i="3"/>
  <c r="J50" i="3" s="1"/>
  <c r="D51" i="3"/>
  <c r="J51" i="3" s="1"/>
  <c r="D52" i="3"/>
  <c r="J52" i="3" s="1"/>
  <c r="D53" i="3"/>
  <c r="J53" i="3" s="1"/>
  <c r="D54" i="3"/>
  <c r="J54" i="3" s="1"/>
  <c r="D55" i="3"/>
  <c r="J55" i="3" s="1"/>
  <c r="D56" i="3"/>
  <c r="J56" i="3" s="1"/>
  <c r="D57" i="3"/>
  <c r="J57" i="3" s="1"/>
  <c r="D58" i="3"/>
  <c r="J58" i="3" s="1"/>
  <c r="D59" i="3"/>
  <c r="J59" i="3" s="1"/>
  <c r="D60" i="3"/>
  <c r="J60" i="3" s="1"/>
  <c r="D61" i="3"/>
  <c r="J61" i="3" s="1"/>
  <c r="D62" i="3"/>
  <c r="J62" i="3" s="1"/>
  <c r="D63" i="3"/>
  <c r="J63" i="3" s="1"/>
  <c r="D64" i="3"/>
  <c r="J64" i="3" s="1"/>
  <c r="D65" i="3"/>
  <c r="J65" i="3" s="1"/>
  <c r="D66" i="3"/>
  <c r="J66" i="3" s="1"/>
  <c r="D67" i="3"/>
  <c r="J67" i="3" s="1"/>
  <c r="D68" i="3"/>
  <c r="J68" i="3" s="1"/>
  <c r="D69" i="3"/>
  <c r="J69" i="3" s="1"/>
  <c r="D70" i="3"/>
  <c r="J70" i="3" s="1"/>
  <c r="D71" i="3"/>
  <c r="J71" i="3" s="1"/>
  <c r="D72" i="3"/>
  <c r="J72" i="3" s="1"/>
  <c r="D73" i="3"/>
  <c r="J73" i="3" s="1"/>
  <c r="D74" i="3"/>
  <c r="J74" i="3" s="1"/>
  <c r="D75" i="3"/>
  <c r="J75" i="3" s="1"/>
  <c r="D76" i="3"/>
  <c r="J76" i="3" s="1"/>
  <c r="D77" i="3"/>
  <c r="J77" i="3" s="1"/>
  <c r="D78" i="3"/>
  <c r="J78" i="3" s="1"/>
  <c r="D79" i="3"/>
  <c r="J79" i="3" s="1"/>
  <c r="D80" i="3"/>
  <c r="J80" i="3" s="1"/>
  <c r="D81" i="3"/>
  <c r="J81" i="3" s="1"/>
  <c r="X26" i="6" s="1"/>
  <c r="D82" i="3"/>
  <c r="J82" i="3" s="1"/>
  <c r="D83" i="3"/>
  <c r="J83" i="3" s="1"/>
  <c r="D84" i="3"/>
  <c r="J84" i="3" s="1"/>
  <c r="D85" i="3"/>
  <c r="J85" i="3" s="1"/>
  <c r="D86" i="3"/>
  <c r="J86" i="3" s="1"/>
  <c r="D87" i="3"/>
  <c r="J87" i="3" s="1"/>
  <c r="D88" i="3"/>
  <c r="J88" i="3" s="1"/>
  <c r="D89" i="3"/>
  <c r="J89" i="3" s="1"/>
  <c r="D90" i="3"/>
  <c r="J90" i="3" s="1"/>
  <c r="D91" i="3"/>
  <c r="J91" i="3" s="1"/>
  <c r="D92" i="3"/>
  <c r="J92" i="3" s="1"/>
  <c r="D93" i="3"/>
  <c r="J93" i="3" s="1"/>
  <c r="D94" i="3"/>
  <c r="J94" i="3" s="1"/>
  <c r="D95" i="3"/>
  <c r="J95" i="3" s="1"/>
  <c r="D96" i="3"/>
  <c r="J96" i="3" s="1"/>
  <c r="D97" i="3"/>
  <c r="J97" i="3" s="1"/>
  <c r="D98" i="3"/>
  <c r="J98" i="3" s="1"/>
  <c r="D99" i="3"/>
  <c r="J99" i="3" s="1"/>
  <c r="D100" i="3"/>
  <c r="J100" i="3" s="1"/>
  <c r="D101" i="3"/>
  <c r="J101" i="3" s="1"/>
  <c r="D102" i="3"/>
  <c r="J102" i="3" s="1"/>
  <c r="D103" i="3"/>
  <c r="J103" i="3" s="1"/>
  <c r="D104" i="3"/>
  <c r="J104" i="3" s="1"/>
  <c r="D105" i="3"/>
  <c r="J105" i="3" s="1"/>
  <c r="D106" i="3"/>
  <c r="J106" i="3" s="1"/>
  <c r="D107" i="3"/>
  <c r="J107" i="3" s="1"/>
  <c r="D108" i="3"/>
  <c r="J108" i="3" s="1"/>
  <c r="D109" i="3"/>
  <c r="J109" i="3" s="1"/>
  <c r="D110" i="3"/>
  <c r="J110" i="3" s="1"/>
  <c r="D111" i="3"/>
  <c r="J111" i="3" s="1"/>
  <c r="D112" i="3"/>
  <c r="J112" i="3" s="1"/>
  <c r="D113" i="3"/>
  <c r="J113" i="3" s="1"/>
  <c r="D114" i="3"/>
  <c r="J114" i="3" s="1"/>
  <c r="D115" i="3"/>
  <c r="J115" i="3" s="1"/>
  <c r="D116" i="3"/>
  <c r="J116" i="3" s="1"/>
  <c r="D117" i="3"/>
  <c r="J117" i="3" s="1"/>
  <c r="D118" i="3"/>
  <c r="J118" i="3" s="1"/>
  <c r="D119" i="3"/>
  <c r="J119" i="3" s="1"/>
  <c r="D120" i="3"/>
  <c r="J120" i="3" s="1"/>
  <c r="D121" i="3"/>
  <c r="J121" i="3" s="1"/>
  <c r="D122" i="3"/>
  <c r="J122" i="3" s="1"/>
  <c r="D123" i="3"/>
  <c r="J123" i="3" s="1"/>
  <c r="D124" i="3"/>
  <c r="J124" i="3" s="1"/>
  <c r="D125" i="3"/>
  <c r="J125" i="3" s="1"/>
  <c r="D126" i="3"/>
  <c r="J126" i="3" s="1"/>
  <c r="D127" i="3"/>
  <c r="J127" i="3" s="1"/>
  <c r="D128" i="3"/>
  <c r="J128" i="3" s="1"/>
  <c r="D129" i="3"/>
  <c r="J129" i="3" s="1"/>
  <c r="D130" i="3"/>
  <c r="J130" i="3" s="1"/>
  <c r="D131" i="3"/>
  <c r="J131" i="3" s="1"/>
  <c r="D132" i="3"/>
  <c r="J132" i="3" s="1"/>
  <c r="D133" i="3"/>
  <c r="J133" i="3" s="1"/>
  <c r="D134" i="3"/>
  <c r="J134" i="3" s="1"/>
  <c r="D135" i="3"/>
  <c r="J135" i="3" s="1"/>
  <c r="D136" i="3"/>
  <c r="J136" i="3" s="1"/>
  <c r="D137" i="3"/>
  <c r="J137" i="3" s="1"/>
  <c r="D138" i="3"/>
  <c r="J138" i="3" s="1"/>
  <c r="D139" i="3"/>
  <c r="J139" i="3" s="1"/>
  <c r="D140" i="3"/>
  <c r="J140" i="3" s="1"/>
  <c r="D141" i="3"/>
  <c r="J141" i="3" s="1"/>
  <c r="D142" i="3"/>
  <c r="J142" i="3" s="1"/>
  <c r="D143" i="3"/>
  <c r="J143" i="3" s="1"/>
  <c r="D144" i="3"/>
  <c r="J144" i="3" s="1"/>
  <c r="D145" i="3"/>
  <c r="J145" i="3" s="1"/>
  <c r="D146" i="3"/>
  <c r="J146" i="3" s="1"/>
  <c r="D147" i="3"/>
  <c r="J147" i="3" s="1"/>
  <c r="D148" i="3"/>
  <c r="J148" i="3" s="1"/>
  <c r="D149" i="3"/>
  <c r="J149" i="3" s="1"/>
  <c r="D150" i="3"/>
  <c r="J150" i="3" s="1"/>
  <c r="D151" i="3"/>
  <c r="J151" i="3" s="1"/>
  <c r="D152" i="3"/>
  <c r="J152" i="3" s="1"/>
  <c r="D153" i="3"/>
  <c r="J153" i="3" s="1"/>
  <c r="D154" i="3"/>
  <c r="J154" i="3" s="1"/>
  <c r="D155" i="3"/>
  <c r="J155" i="3" s="1"/>
  <c r="D156" i="3"/>
  <c r="J156" i="3" s="1"/>
  <c r="D157" i="3"/>
  <c r="J157" i="3" s="1"/>
  <c r="D158" i="3"/>
  <c r="J158" i="3" s="1"/>
  <c r="D159" i="3"/>
  <c r="J159" i="3" s="1"/>
  <c r="D160" i="3"/>
  <c r="J160" i="3" s="1"/>
  <c r="D161" i="3"/>
  <c r="J161" i="3" s="1"/>
  <c r="D162" i="3"/>
  <c r="J162" i="3" s="1"/>
  <c r="D163" i="3"/>
  <c r="J163" i="3" s="1"/>
  <c r="D164" i="3"/>
  <c r="J164" i="3" s="1"/>
  <c r="D165" i="3"/>
  <c r="J165" i="3" s="1"/>
  <c r="D166" i="3"/>
  <c r="J166" i="3" s="1"/>
  <c r="D167" i="3"/>
  <c r="J167" i="3" s="1"/>
  <c r="D168" i="3"/>
  <c r="J168" i="3" s="1"/>
  <c r="D169" i="3"/>
  <c r="J169" i="3" s="1"/>
  <c r="D170" i="3"/>
  <c r="J170" i="3" s="1"/>
  <c r="D171" i="3"/>
  <c r="J171" i="3" s="1"/>
  <c r="D172" i="3"/>
  <c r="J172" i="3" s="1"/>
  <c r="D173" i="3"/>
  <c r="J173" i="3" s="1"/>
  <c r="D174" i="3"/>
  <c r="J174" i="3" s="1"/>
  <c r="D175" i="3"/>
  <c r="J175" i="3" s="1"/>
  <c r="D176" i="3"/>
  <c r="J176" i="3" s="1"/>
  <c r="D177" i="3"/>
  <c r="J177" i="3" s="1"/>
  <c r="D178" i="3"/>
  <c r="J178" i="3" s="1"/>
  <c r="D179" i="3"/>
  <c r="J179" i="3" s="1"/>
  <c r="D180" i="3"/>
  <c r="J180" i="3" s="1"/>
  <c r="J181" i="3"/>
  <c r="J182" i="3"/>
  <c r="J183" i="3"/>
  <c r="C34" i="1" s="1"/>
  <c r="J184" i="3"/>
  <c r="C35" i="1" s="1"/>
  <c r="D185" i="3"/>
  <c r="J185" i="3" s="1"/>
  <c r="D186" i="3"/>
  <c r="J186" i="3" s="1"/>
  <c r="D187" i="3"/>
  <c r="J187" i="3" s="1"/>
  <c r="D188" i="3"/>
  <c r="J188" i="3" s="1"/>
  <c r="D189" i="3"/>
  <c r="J189" i="3" s="1"/>
  <c r="D190" i="3"/>
  <c r="J190" i="3" s="1"/>
  <c r="D191" i="3"/>
  <c r="J191" i="3" s="1"/>
  <c r="D192" i="3"/>
  <c r="J192" i="3" s="1"/>
  <c r="D193" i="3"/>
  <c r="J193" i="3" s="1"/>
  <c r="D194" i="3"/>
  <c r="J194" i="3" s="1"/>
  <c r="D195" i="3"/>
  <c r="J195" i="3" s="1"/>
  <c r="D196" i="3"/>
  <c r="J196" i="3" s="1"/>
  <c r="D197" i="3"/>
  <c r="J197" i="3" s="1"/>
  <c r="D198" i="3"/>
  <c r="J198" i="3" s="1"/>
  <c r="D199" i="3"/>
  <c r="J199" i="3" s="1"/>
  <c r="D200" i="3"/>
  <c r="J200" i="3" s="1"/>
  <c r="D201" i="3"/>
  <c r="J201" i="3" s="1"/>
  <c r="D202" i="3"/>
  <c r="J202" i="3" s="1"/>
  <c r="D203" i="3"/>
  <c r="J203" i="3" s="1"/>
  <c r="D204" i="3"/>
  <c r="J204" i="3" s="1"/>
  <c r="D205" i="3"/>
  <c r="J205" i="3" s="1"/>
  <c r="D206" i="3"/>
  <c r="J206" i="3" s="1"/>
  <c r="D207" i="3"/>
  <c r="J207" i="3" s="1"/>
  <c r="D208" i="3"/>
  <c r="J208" i="3" s="1"/>
  <c r="D209" i="3"/>
  <c r="J209" i="3" s="1"/>
  <c r="D210" i="3"/>
  <c r="J210" i="3" s="1"/>
  <c r="D211" i="3"/>
  <c r="J211" i="3" s="1"/>
  <c r="D212" i="3"/>
  <c r="J212" i="3" s="1"/>
  <c r="D213" i="3"/>
  <c r="J213" i="3" s="1"/>
  <c r="D214" i="3"/>
  <c r="J214" i="3" s="1"/>
  <c r="D215" i="3"/>
  <c r="J215" i="3" s="1"/>
  <c r="D216" i="3"/>
  <c r="J216" i="3" s="1"/>
  <c r="D217" i="3"/>
  <c r="J217" i="3" s="1"/>
  <c r="D218" i="3"/>
  <c r="J218" i="3" s="1"/>
  <c r="D219" i="3"/>
  <c r="J219" i="3" s="1"/>
  <c r="D220" i="3"/>
  <c r="J220" i="3" s="1"/>
  <c r="D221" i="3"/>
  <c r="J221" i="3" s="1"/>
  <c r="D222" i="3"/>
  <c r="J222" i="3" s="1"/>
  <c r="D223" i="3"/>
  <c r="J223" i="3" s="1"/>
  <c r="D224" i="3"/>
  <c r="J224" i="3" s="1"/>
  <c r="D225" i="3"/>
  <c r="J225" i="3" s="1"/>
  <c r="D226" i="3"/>
  <c r="J226" i="3" s="1"/>
  <c r="D227" i="3"/>
  <c r="J227" i="3" s="1"/>
  <c r="D228" i="3"/>
  <c r="J228" i="3" s="1"/>
  <c r="D229" i="3"/>
  <c r="J229" i="3" s="1"/>
  <c r="D230" i="3"/>
  <c r="J230" i="3" s="1"/>
  <c r="D231" i="3"/>
  <c r="J231" i="3" s="1"/>
  <c r="D232" i="3"/>
  <c r="J232" i="3" s="1"/>
  <c r="D233" i="3"/>
  <c r="J233" i="3" s="1"/>
  <c r="D234" i="3"/>
  <c r="J234" i="3" s="1"/>
  <c r="D235" i="3"/>
  <c r="J235" i="3" s="1"/>
  <c r="D236" i="3"/>
  <c r="J236" i="3" s="1"/>
  <c r="D237" i="3"/>
  <c r="J237" i="3" s="1"/>
  <c r="D238" i="3"/>
  <c r="J238" i="3" s="1"/>
  <c r="D239" i="3"/>
  <c r="J239" i="3" s="1"/>
  <c r="D240" i="3"/>
  <c r="J240" i="3" s="1"/>
  <c r="D241" i="3"/>
  <c r="J241" i="3" s="1"/>
  <c r="D242" i="3"/>
  <c r="J242" i="3" s="1"/>
  <c r="D243" i="3"/>
  <c r="J243" i="3" s="1"/>
  <c r="D244" i="3"/>
  <c r="J244" i="3" s="1"/>
  <c r="D245" i="3"/>
  <c r="J245" i="3" s="1"/>
  <c r="D246" i="3"/>
  <c r="J246" i="3" s="1"/>
  <c r="D247" i="3"/>
  <c r="J247" i="3" s="1"/>
  <c r="D248" i="3"/>
  <c r="J248" i="3" s="1"/>
  <c r="D249" i="3"/>
  <c r="J249" i="3" s="1"/>
  <c r="D250" i="3"/>
  <c r="J250" i="3" s="1"/>
  <c r="D251" i="3"/>
  <c r="J251" i="3" s="1"/>
  <c r="D252" i="3"/>
  <c r="J252" i="3" s="1"/>
  <c r="D253" i="3"/>
  <c r="J253" i="3" s="1"/>
  <c r="D254" i="3"/>
  <c r="J254" i="3" s="1"/>
  <c r="D255" i="3"/>
  <c r="J255" i="3" s="1"/>
  <c r="D256" i="3"/>
  <c r="J256" i="3" s="1"/>
  <c r="D257" i="3"/>
  <c r="J257" i="3" s="1"/>
  <c r="D258" i="3"/>
  <c r="J258" i="3" s="1"/>
  <c r="D259" i="3"/>
  <c r="J259" i="3" s="1"/>
  <c r="D260" i="3"/>
  <c r="J260" i="3" s="1"/>
  <c r="D261" i="3"/>
  <c r="J261" i="3" s="1"/>
  <c r="D262" i="3"/>
  <c r="J262" i="3" s="1"/>
  <c r="D263" i="3"/>
  <c r="J263" i="3" s="1"/>
  <c r="D264" i="3"/>
  <c r="J264" i="3" s="1"/>
  <c r="D265" i="3"/>
  <c r="J265" i="3" s="1"/>
  <c r="D266" i="3"/>
  <c r="J266" i="3" s="1"/>
  <c r="D267" i="3"/>
  <c r="J267" i="3" s="1"/>
  <c r="D268" i="3"/>
  <c r="J268" i="3" s="1"/>
  <c r="D269" i="3"/>
  <c r="J269" i="3" s="1"/>
  <c r="D270" i="3"/>
  <c r="J270" i="3" s="1"/>
  <c r="D271" i="3"/>
  <c r="J271" i="3" s="1"/>
  <c r="D272" i="3"/>
  <c r="J272" i="3" s="1"/>
  <c r="D273" i="3"/>
  <c r="J273" i="3" s="1"/>
  <c r="D274" i="3"/>
  <c r="J274" i="3" s="1"/>
  <c r="D8" i="3"/>
  <c r="J8" i="3" s="1"/>
  <c r="J33" i="1" l="1"/>
  <c r="W26" i="6"/>
  <c r="C25" i="1"/>
  <c r="C16" i="1"/>
  <c r="C17" i="1"/>
  <c r="C17" i="7"/>
  <c r="C23" i="1"/>
  <c r="J36" i="1"/>
  <c r="C36" i="1"/>
  <c r="J32" i="1"/>
  <c r="C32" i="1"/>
  <c r="C31" i="1"/>
  <c r="C24" i="1"/>
  <c r="C18" i="1"/>
  <c r="J31" i="1"/>
  <c r="J23" i="1"/>
  <c r="J13" i="7"/>
  <c r="J16" i="1"/>
  <c r="J24" i="1"/>
  <c r="J17" i="1"/>
  <c r="J43" i="1"/>
  <c r="C19" i="7"/>
  <c r="C18" i="7"/>
  <c r="J18" i="7"/>
  <c r="J44" i="1"/>
  <c r="C15" i="7"/>
  <c r="J15" i="7"/>
  <c r="C14" i="7"/>
  <c r="J14" i="7"/>
  <c r="J18" i="1"/>
  <c r="C13" i="7"/>
  <c r="I66" i="7"/>
  <c r="I63" i="7"/>
  <c r="I60" i="7"/>
  <c r="B66" i="7"/>
  <c r="B63" i="7"/>
  <c r="B60" i="7"/>
  <c r="C60" i="7" s="1"/>
  <c r="L9" i="3"/>
  <c r="N9" i="3" s="1"/>
  <c r="L10" i="3"/>
  <c r="N10" i="3" s="1"/>
  <c r="L11" i="3"/>
  <c r="N11" i="3" s="1"/>
  <c r="L12" i="3"/>
  <c r="N12" i="3" s="1"/>
  <c r="L13" i="3"/>
  <c r="N13" i="3" s="1"/>
  <c r="L14" i="3"/>
  <c r="N14" i="3" s="1"/>
  <c r="L15" i="3"/>
  <c r="N15" i="3" s="1"/>
  <c r="L16" i="3"/>
  <c r="N16" i="3" s="1"/>
  <c r="L17" i="3"/>
  <c r="N17" i="3" s="1"/>
  <c r="L18" i="3"/>
  <c r="N18" i="3" s="1"/>
  <c r="L19" i="3"/>
  <c r="N19" i="3" s="1"/>
  <c r="L20" i="3"/>
  <c r="N20" i="3" s="1"/>
  <c r="L21" i="3"/>
  <c r="N21" i="3" s="1"/>
  <c r="L22" i="3"/>
  <c r="N22" i="3" s="1"/>
  <c r="L23" i="3"/>
  <c r="N23" i="3" s="1"/>
  <c r="L24" i="3"/>
  <c r="N24" i="3" s="1"/>
  <c r="L25" i="3"/>
  <c r="N25" i="3" s="1"/>
  <c r="L26" i="3"/>
  <c r="N26" i="3" s="1"/>
  <c r="L27" i="3"/>
  <c r="N27" i="3" s="1"/>
  <c r="L28" i="3"/>
  <c r="N28" i="3" s="1"/>
  <c r="L29" i="3"/>
  <c r="N29" i="3" s="1"/>
  <c r="L30" i="3"/>
  <c r="N30" i="3" s="1"/>
  <c r="L31" i="3"/>
  <c r="N31" i="3" s="1"/>
  <c r="L32" i="3"/>
  <c r="N32" i="3" s="1"/>
  <c r="L34" i="3"/>
  <c r="N34" i="3" s="1"/>
  <c r="L35" i="3"/>
  <c r="N35" i="3" s="1"/>
  <c r="L36" i="3"/>
  <c r="N36" i="3" s="1"/>
  <c r="M33" i="1" s="1"/>
  <c r="L37" i="3"/>
  <c r="N37" i="3" s="1"/>
  <c r="L38" i="3"/>
  <c r="N38" i="3" s="1"/>
  <c r="L39" i="3"/>
  <c r="N39" i="3" s="1"/>
  <c r="L40" i="3"/>
  <c r="N40" i="3" s="1"/>
  <c r="L41" i="3"/>
  <c r="N41" i="3" s="1"/>
  <c r="L42" i="3"/>
  <c r="N42" i="3" s="1"/>
  <c r="L43" i="3"/>
  <c r="N43" i="3" s="1"/>
  <c r="L44" i="3"/>
  <c r="N44" i="3" s="1"/>
  <c r="L45" i="3"/>
  <c r="N45" i="3" s="1"/>
  <c r="L46" i="3"/>
  <c r="N46" i="3" s="1"/>
  <c r="L48" i="3"/>
  <c r="N48" i="3" s="1"/>
  <c r="L49" i="3"/>
  <c r="N49" i="3" s="1"/>
  <c r="L50" i="3"/>
  <c r="N50" i="3" s="1"/>
  <c r="L51" i="3"/>
  <c r="N51" i="3" s="1"/>
  <c r="L52" i="3"/>
  <c r="N52" i="3" s="1"/>
  <c r="L53" i="3"/>
  <c r="N53" i="3" s="1"/>
  <c r="L57" i="3"/>
  <c r="N57" i="3" s="1"/>
  <c r="L59" i="3"/>
  <c r="N59" i="3" s="1"/>
  <c r="L61" i="3"/>
  <c r="N61" i="3" s="1"/>
  <c r="L62" i="3"/>
  <c r="N62" i="3" s="1"/>
  <c r="L63" i="3"/>
  <c r="N63" i="3" s="1"/>
  <c r="L64" i="3"/>
  <c r="N64" i="3" s="1"/>
  <c r="L65" i="3"/>
  <c r="N65" i="3" s="1"/>
  <c r="L66" i="3"/>
  <c r="N66" i="3" s="1"/>
  <c r="L67" i="3"/>
  <c r="N67" i="3" s="1"/>
  <c r="L68" i="3"/>
  <c r="N68" i="3" s="1"/>
  <c r="L69" i="3"/>
  <c r="N69" i="3" s="1"/>
  <c r="L70" i="3"/>
  <c r="N70" i="3" s="1"/>
  <c r="L71" i="3"/>
  <c r="N71" i="3" s="1"/>
  <c r="L72" i="3"/>
  <c r="N72" i="3" s="1"/>
  <c r="L73" i="3"/>
  <c r="N73" i="3" s="1"/>
  <c r="L74" i="3"/>
  <c r="N74" i="3" s="1"/>
  <c r="L75" i="3"/>
  <c r="N75" i="3" s="1"/>
  <c r="L76" i="3"/>
  <c r="N76" i="3" s="1"/>
  <c r="L77" i="3"/>
  <c r="N77" i="3" s="1"/>
  <c r="L79" i="3"/>
  <c r="N79" i="3" s="1"/>
  <c r="L80" i="3"/>
  <c r="N80" i="3" s="1"/>
  <c r="L81" i="3"/>
  <c r="N81" i="3" s="1"/>
  <c r="L82" i="3"/>
  <c r="N82" i="3" s="1"/>
  <c r="L83" i="3"/>
  <c r="N83" i="3" s="1"/>
  <c r="L84" i="3"/>
  <c r="N84" i="3" s="1"/>
  <c r="L85" i="3"/>
  <c r="N85" i="3" s="1"/>
  <c r="L88" i="3"/>
  <c r="N88" i="3" s="1"/>
  <c r="L89" i="3"/>
  <c r="N89" i="3" s="1"/>
  <c r="L90" i="3"/>
  <c r="N90" i="3" s="1"/>
  <c r="L93" i="3"/>
  <c r="N93" i="3" s="1"/>
  <c r="L94" i="3"/>
  <c r="N94" i="3" s="1"/>
  <c r="L95" i="3"/>
  <c r="N95" i="3" s="1"/>
  <c r="L96" i="3"/>
  <c r="N96" i="3" s="1"/>
  <c r="L97" i="3"/>
  <c r="N97" i="3" s="1"/>
  <c r="L98" i="3"/>
  <c r="N98" i="3" s="1"/>
  <c r="L99" i="3"/>
  <c r="N99" i="3" s="1"/>
  <c r="L100" i="3"/>
  <c r="N100" i="3" s="1"/>
  <c r="L101" i="3"/>
  <c r="N101" i="3" s="1"/>
  <c r="L102" i="3"/>
  <c r="N102" i="3" s="1"/>
  <c r="L103" i="3"/>
  <c r="N103" i="3" s="1"/>
  <c r="L104" i="3"/>
  <c r="N104" i="3" s="1"/>
  <c r="L105" i="3"/>
  <c r="N105" i="3" s="1"/>
  <c r="L106" i="3"/>
  <c r="N106" i="3" s="1"/>
  <c r="L107" i="3"/>
  <c r="N107" i="3" s="1"/>
  <c r="L108" i="3"/>
  <c r="N108" i="3" s="1"/>
  <c r="L109" i="3"/>
  <c r="N109" i="3" s="1"/>
  <c r="L110" i="3"/>
  <c r="N110" i="3" s="1"/>
  <c r="L111" i="3"/>
  <c r="N111" i="3" s="1"/>
  <c r="L112" i="3"/>
  <c r="N112" i="3" s="1"/>
  <c r="L113" i="3"/>
  <c r="N113" i="3" s="1"/>
  <c r="L114" i="3"/>
  <c r="N114" i="3" s="1"/>
  <c r="L115" i="3"/>
  <c r="N115" i="3" s="1"/>
  <c r="L116" i="3"/>
  <c r="N116" i="3" s="1"/>
  <c r="L117" i="3"/>
  <c r="N117" i="3" s="1"/>
  <c r="L118" i="3"/>
  <c r="N118" i="3" s="1"/>
  <c r="L119" i="3"/>
  <c r="N119" i="3" s="1"/>
  <c r="L120" i="3"/>
  <c r="N120" i="3" s="1"/>
  <c r="L121" i="3"/>
  <c r="N121" i="3" s="1"/>
  <c r="L122" i="3"/>
  <c r="N122" i="3" s="1"/>
  <c r="L123" i="3"/>
  <c r="N123" i="3" s="1"/>
  <c r="L124" i="3"/>
  <c r="N124" i="3" s="1"/>
  <c r="L125" i="3"/>
  <c r="N125" i="3" s="1"/>
  <c r="L126" i="3"/>
  <c r="N126" i="3" s="1"/>
  <c r="L127" i="3"/>
  <c r="N127" i="3" s="1"/>
  <c r="L128" i="3"/>
  <c r="N128" i="3" s="1"/>
  <c r="L129" i="3"/>
  <c r="N129" i="3" s="1"/>
  <c r="L130" i="3"/>
  <c r="N130" i="3" s="1"/>
  <c r="L132" i="3"/>
  <c r="N132" i="3" s="1"/>
  <c r="L133" i="3"/>
  <c r="N133" i="3" s="1"/>
  <c r="L134" i="3"/>
  <c r="N134" i="3" s="1"/>
  <c r="L135" i="3"/>
  <c r="N135" i="3" s="1"/>
  <c r="L136" i="3"/>
  <c r="N136" i="3" s="1"/>
  <c r="L137" i="3"/>
  <c r="N137" i="3" s="1"/>
  <c r="L138" i="3"/>
  <c r="N138" i="3" s="1"/>
  <c r="L139" i="3"/>
  <c r="N139" i="3" s="1"/>
  <c r="L140" i="3"/>
  <c r="N140" i="3" s="1"/>
  <c r="L141" i="3"/>
  <c r="N141" i="3" s="1"/>
  <c r="L142" i="3"/>
  <c r="N142" i="3" s="1"/>
  <c r="L143" i="3"/>
  <c r="N143" i="3" s="1"/>
  <c r="L144" i="3"/>
  <c r="N144" i="3" s="1"/>
  <c r="L145" i="3"/>
  <c r="N145" i="3" s="1"/>
  <c r="L146" i="3"/>
  <c r="N146" i="3" s="1"/>
  <c r="L147" i="3"/>
  <c r="N147" i="3" s="1"/>
  <c r="L148" i="3"/>
  <c r="N148" i="3" s="1"/>
  <c r="L149" i="3"/>
  <c r="N149" i="3" s="1"/>
  <c r="L150" i="3"/>
  <c r="N150" i="3" s="1"/>
  <c r="L151" i="3"/>
  <c r="N151" i="3" s="1"/>
  <c r="L152" i="3"/>
  <c r="N152" i="3" s="1"/>
  <c r="L153" i="3"/>
  <c r="N153" i="3" s="1"/>
  <c r="L154" i="3"/>
  <c r="N154" i="3" s="1"/>
  <c r="L155" i="3"/>
  <c r="N155" i="3" s="1"/>
  <c r="L156" i="3"/>
  <c r="N156" i="3" s="1"/>
  <c r="L157" i="3"/>
  <c r="N157" i="3" s="1"/>
  <c r="L158" i="3"/>
  <c r="N158" i="3" s="1"/>
  <c r="L159" i="3"/>
  <c r="N159" i="3" s="1"/>
  <c r="L160" i="3"/>
  <c r="N160" i="3" s="1"/>
  <c r="L161" i="3"/>
  <c r="N161" i="3" s="1"/>
  <c r="L162" i="3"/>
  <c r="N162" i="3" s="1"/>
  <c r="L163" i="3"/>
  <c r="N163" i="3" s="1"/>
  <c r="L164" i="3"/>
  <c r="N164" i="3" s="1"/>
  <c r="L165" i="3"/>
  <c r="N165" i="3" s="1"/>
  <c r="L166" i="3"/>
  <c r="N166" i="3" s="1"/>
  <c r="L167" i="3"/>
  <c r="N167" i="3" s="1"/>
  <c r="L168" i="3"/>
  <c r="N168" i="3" s="1"/>
  <c r="L169" i="3"/>
  <c r="N169" i="3" s="1"/>
  <c r="L170" i="3"/>
  <c r="N170" i="3" s="1"/>
  <c r="L172" i="3"/>
  <c r="N172" i="3" s="1"/>
  <c r="L173" i="3"/>
  <c r="N173" i="3" s="1"/>
  <c r="L174" i="3"/>
  <c r="N174" i="3" s="1"/>
  <c r="L175" i="3"/>
  <c r="N175" i="3" s="1"/>
  <c r="L176" i="3"/>
  <c r="N176" i="3" s="1"/>
  <c r="L177" i="3"/>
  <c r="N177" i="3" s="1"/>
  <c r="L178" i="3"/>
  <c r="N178" i="3" s="1"/>
  <c r="L179" i="3"/>
  <c r="N179" i="3" s="1"/>
  <c r="L180" i="3"/>
  <c r="N180" i="3" s="1"/>
  <c r="L181" i="3"/>
  <c r="N181" i="3" s="1"/>
  <c r="L182" i="3"/>
  <c r="N182" i="3" s="1"/>
  <c r="L183" i="3"/>
  <c r="N183" i="3" s="1"/>
  <c r="L184" i="3"/>
  <c r="N184" i="3" s="1"/>
  <c r="L185" i="3"/>
  <c r="N185" i="3" s="1"/>
  <c r="L186" i="3"/>
  <c r="N186" i="3" s="1"/>
  <c r="L187" i="3"/>
  <c r="N187" i="3" s="1"/>
  <c r="L188" i="3"/>
  <c r="N188" i="3" s="1"/>
  <c r="L189" i="3"/>
  <c r="N189" i="3" s="1"/>
  <c r="L190" i="3"/>
  <c r="N190" i="3" s="1"/>
  <c r="L191" i="3"/>
  <c r="N191" i="3" s="1"/>
  <c r="L192" i="3"/>
  <c r="N192" i="3" s="1"/>
  <c r="L193" i="3"/>
  <c r="N193" i="3" s="1"/>
  <c r="L194" i="3"/>
  <c r="N194" i="3" s="1"/>
  <c r="L195" i="3"/>
  <c r="N195" i="3" s="1"/>
  <c r="L196" i="3"/>
  <c r="N196" i="3" s="1"/>
  <c r="L197" i="3"/>
  <c r="N197" i="3" s="1"/>
  <c r="L198" i="3"/>
  <c r="N198" i="3" s="1"/>
  <c r="L199" i="3"/>
  <c r="N199" i="3" s="1"/>
  <c r="L200" i="3"/>
  <c r="N200" i="3" s="1"/>
  <c r="L201" i="3"/>
  <c r="N201" i="3" s="1"/>
  <c r="L202" i="3"/>
  <c r="N202" i="3" s="1"/>
  <c r="L203" i="3"/>
  <c r="N203" i="3" s="1"/>
  <c r="L204" i="3"/>
  <c r="N204" i="3" s="1"/>
  <c r="L205" i="3"/>
  <c r="N205" i="3" s="1"/>
  <c r="L206" i="3"/>
  <c r="N206" i="3" s="1"/>
  <c r="L207" i="3"/>
  <c r="N207" i="3" s="1"/>
  <c r="L208" i="3"/>
  <c r="N208" i="3" s="1"/>
  <c r="L209" i="3"/>
  <c r="N209" i="3" s="1"/>
  <c r="L210" i="3"/>
  <c r="N210" i="3" s="1"/>
  <c r="L211" i="3"/>
  <c r="N211" i="3" s="1"/>
  <c r="L212" i="3"/>
  <c r="N212" i="3" s="1"/>
  <c r="L213" i="3"/>
  <c r="N213" i="3" s="1"/>
  <c r="L214" i="3"/>
  <c r="N214" i="3" s="1"/>
  <c r="L215" i="3"/>
  <c r="N215" i="3" s="1"/>
  <c r="L216" i="3"/>
  <c r="N216" i="3" s="1"/>
  <c r="L217" i="3"/>
  <c r="N217" i="3" s="1"/>
  <c r="L218" i="3"/>
  <c r="N218" i="3" s="1"/>
  <c r="L219" i="3"/>
  <c r="N219" i="3" s="1"/>
  <c r="L220" i="3"/>
  <c r="N220" i="3" s="1"/>
  <c r="L221" i="3"/>
  <c r="N221" i="3" s="1"/>
  <c r="L222" i="3"/>
  <c r="N222" i="3" s="1"/>
  <c r="L223" i="3"/>
  <c r="N223" i="3" s="1"/>
  <c r="L224" i="3"/>
  <c r="N224" i="3" s="1"/>
  <c r="L225" i="3"/>
  <c r="N225" i="3" s="1"/>
  <c r="L226" i="3"/>
  <c r="N226" i="3" s="1"/>
  <c r="L227" i="3"/>
  <c r="N227" i="3" s="1"/>
  <c r="L228" i="3"/>
  <c r="N228" i="3" s="1"/>
  <c r="L229" i="3"/>
  <c r="N229" i="3" s="1"/>
  <c r="L230" i="3"/>
  <c r="N230" i="3" s="1"/>
  <c r="L231" i="3"/>
  <c r="N231" i="3" s="1"/>
  <c r="L232" i="3"/>
  <c r="N232" i="3" s="1"/>
  <c r="L233" i="3"/>
  <c r="N233" i="3" s="1"/>
  <c r="L234" i="3"/>
  <c r="N234" i="3" s="1"/>
  <c r="L235" i="3"/>
  <c r="N235" i="3" s="1"/>
  <c r="L236" i="3"/>
  <c r="N236" i="3" s="1"/>
  <c r="L237" i="3"/>
  <c r="N237" i="3" s="1"/>
  <c r="L238" i="3"/>
  <c r="N238" i="3" s="1"/>
  <c r="L239" i="3"/>
  <c r="N239" i="3" s="1"/>
  <c r="L240" i="3"/>
  <c r="N240" i="3" s="1"/>
  <c r="L241" i="3"/>
  <c r="N241" i="3" s="1"/>
  <c r="L242" i="3"/>
  <c r="N242" i="3" s="1"/>
  <c r="L243" i="3"/>
  <c r="N243" i="3" s="1"/>
  <c r="L244" i="3"/>
  <c r="N244" i="3" s="1"/>
  <c r="L245" i="3"/>
  <c r="N245" i="3" s="1"/>
  <c r="L246" i="3"/>
  <c r="N246" i="3" s="1"/>
  <c r="L247" i="3"/>
  <c r="N247" i="3" s="1"/>
  <c r="L248" i="3"/>
  <c r="N248" i="3" s="1"/>
  <c r="L249" i="3"/>
  <c r="N249" i="3" s="1"/>
  <c r="L250" i="3"/>
  <c r="N250" i="3" s="1"/>
  <c r="L251" i="3"/>
  <c r="N251" i="3" s="1"/>
  <c r="L252" i="3"/>
  <c r="N252" i="3" s="1"/>
  <c r="L253" i="3"/>
  <c r="N253" i="3" s="1"/>
  <c r="L254" i="3"/>
  <c r="N254" i="3" s="1"/>
  <c r="L255" i="3"/>
  <c r="N255" i="3" s="1"/>
  <c r="L256" i="3"/>
  <c r="N256" i="3" s="1"/>
  <c r="L257" i="3"/>
  <c r="N257" i="3" s="1"/>
  <c r="L258" i="3"/>
  <c r="N258" i="3" s="1"/>
  <c r="L259" i="3"/>
  <c r="N259" i="3" s="1"/>
  <c r="L260" i="3"/>
  <c r="N260" i="3" s="1"/>
  <c r="L261" i="3"/>
  <c r="N261" i="3" s="1"/>
  <c r="L262" i="3"/>
  <c r="N262" i="3" s="1"/>
  <c r="L263" i="3"/>
  <c r="N263" i="3" s="1"/>
  <c r="L264" i="3"/>
  <c r="N264" i="3" s="1"/>
  <c r="L265" i="3"/>
  <c r="N265" i="3" s="1"/>
  <c r="L266" i="3"/>
  <c r="N266" i="3" s="1"/>
  <c r="L267" i="3"/>
  <c r="N267" i="3" s="1"/>
  <c r="L268" i="3"/>
  <c r="N268" i="3" s="1"/>
  <c r="L269" i="3"/>
  <c r="N269" i="3" s="1"/>
  <c r="L270" i="3"/>
  <c r="N270" i="3" s="1"/>
  <c r="L271" i="3"/>
  <c r="N271" i="3" s="1"/>
  <c r="L272" i="3"/>
  <c r="N272" i="3" s="1"/>
  <c r="L273" i="3"/>
  <c r="N273" i="3" s="1"/>
  <c r="L274" i="3"/>
  <c r="N274" i="3" s="1"/>
  <c r="L8" i="3"/>
  <c r="N8" i="3" s="1"/>
  <c r="W22" i="6"/>
  <c r="C22" i="6"/>
  <c r="C24" i="6" s="1"/>
  <c r="W5" i="6"/>
  <c r="W15" i="6" s="1"/>
  <c r="C5" i="6"/>
  <c r="C15" i="6" s="1"/>
  <c r="B39" i="4"/>
  <c r="J47" i="7"/>
  <c r="J51" i="7"/>
  <c r="C47" i="7"/>
  <c r="R9" i="3"/>
  <c r="S9" i="3" s="1"/>
  <c r="R10" i="3"/>
  <c r="S10" i="3" s="1"/>
  <c r="R11" i="3"/>
  <c r="S11" i="3" s="1"/>
  <c r="R12" i="3"/>
  <c r="S12" i="3" s="1"/>
  <c r="C51" i="7" s="1"/>
  <c r="R13" i="3"/>
  <c r="S13" i="3" s="1"/>
  <c r="R14" i="3"/>
  <c r="S14" i="3" s="1"/>
  <c r="R15" i="3"/>
  <c r="S15" i="3" s="1"/>
  <c r="R16" i="3"/>
  <c r="S16" i="3" s="1"/>
  <c r="R17" i="3"/>
  <c r="S17" i="3" s="1"/>
  <c r="R18" i="3"/>
  <c r="S18" i="3" s="1"/>
  <c r="R19" i="3"/>
  <c r="S19" i="3" s="1"/>
  <c r="R20" i="3"/>
  <c r="S20" i="3" s="1"/>
  <c r="R21" i="3"/>
  <c r="S21" i="3" s="1"/>
  <c r="R22" i="3"/>
  <c r="S22" i="3" s="1"/>
  <c r="R23" i="3"/>
  <c r="S23" i="3" s="1"/>
  <c r="R24" i="3"/>
  <c r="S24" i="3" s="1"/>
  <c r="R25" i="3"/>
  <c r="S25" i="3" s="1"/>
  <c r="R26" i="3"/>
  <c r="S26" i="3" s="1"/>
  <c r="R27" i="3"/>
  <c r="S27" i="3" s="1"/>
  <c r="R28" i="3"/>
  <c r="S28" i="3" s="1"/>
  <c r="R29" i="3"/>
  <c r="S29" i="3" s="1"/>
  <c r="R30" i="3"/>
  <c r="S30" i="3" s="1"/>
  <c r="R31" i="3"/>
  <c r="S31" i="3" s="1"/>
  <c r="J46" i="7" s="1"/>
  <c r="R32" i="3"/>
  <c r="S32" i="3" s="1"/>
  <c r="R33" i="3"/>
  <c r="S33" i="3" s="1"/>
  <c r="J50" i="7" s="1"/>
  <c r="R34" i="3"/>
  <c r="S34" i="3" s="1"/>
  <c r="R35" i="3"/>
  <c r="S35" i="3" s="1"/>
  <c r="R36" i="3"/>
  <c r="S36" i="3" s="1"/>
  <c r="R37" i="3"/>
  <c r="S37" i="3" s="1"/>
  <c r="R38" i="3"/>
  <c r="S38" i="3" s="1"/>
  <c r="R39" i="3"/>
  <c r="S39" i="3" s="1"/>
  <c r="R40" i="3"/>
  <c r="S40" i="3" s="1"/>
  <c r="R41" i="3"/>
  <c r="S41" i="3" s="1"/>
  <c r="R42" i="3"/>
  <c r="S42" i="3" s="1"/>
  <c r="R43" i="3"/>
  <c r="S43" i="3" s="1"/>
  <c r="R44" i="3"/>
  <c r="S44" i="3" s="1"/>
  <c r="R45" i="3"/>
  <c r="S45" i="3" s="1"/>
  <c r="R46" i="3"/>
  <c r="S46" i="3" s="1"/>
  <c r="R47" i="3"/>
  <c r="S47" i="3" s="1"/>
  <c r="R48" i="3"/>
  <c r="S48" i="3" s="1"/>
  <c r="R49" i="3"/>
  <c r="S49" i="3" s="1"/>
  <c r="R50" i="3"/>
  <c r="S50" i="3" s="1"/>
  <c r="R51" i="3"/>
  <c r="S51" i="3" s="1"/>
  <c r="R52" i="3"/>
  <c r="S52" i="3" s="1"/>
  <c r="R53" i="3"/>
  <c r="S53" i="3" s="1"/>
  <c r="R54" i="3"/>
  <c r="S54" i="3" s="1"/>
  <c r="R55" i="3"/>
  <c r="S55" i="3" s="1"/>
  <c r="R56" i="3"/>
  <c r="S56" i="3" s="1"/>
  <c r="R57" i="3"/>
  <c r="S57" i="3" s="1"/>
  <c r="R58" i="3"/>
  <c r="S58" i="3" s="1"/>
  <c r="R59" i="3"/>
  <c r="S59" i="3" s="1"/>
  <c r="R60" i="3"/>
  <c r="S60" i="3" s="1"/>
  <c r="R61" i="3"/>
  <c r="S61" i="3" s="1"/>
  <c r="R62" i="3"/>
  <c r="S62" i="3" s="1"/>
  <c r="R63" i="3"/>
  <c r="S63" i="3" s="1"/>
  <c r="R64" i="3"/>
  <c r="S64" i="3" s="1"/>
  <c r="R65" i="3"/>
  <c r="S65" i="3" s="1"/>
  <c r="R66" i="3"/>
  <c r="S66" i="3" s="1"/>
  <c r="R67" i="3"/>
  <c r="S67" i="3" s="1"/>
  <c r="R68" i="3"/>
  <c r="S68" i="3" s="1"/>
  <c r="R69" i="3"/>
  <c r="S69" i="3" s="1"/>
  <c r="R70" i="3"/>
  <c r="S70" i="3" s="1"/>
  <c r="R71" i="3"/>
  <c r="S71" i="3" s="1"/>
  <c r="R72" i="3"/>
  <c r="S72" i="3" s="1"/>
  <c r="R73" i="3"/>
  <c r="S73" i="3" s="1"/>
  <c r="R74" i="3"/>
  <c r="S74" i="3" s="1"/>
  <c r="R75" i="3"/>
  <c r="S75" i="3" s="1"/>
  <c r="R76" i="3"/>
  <c r="S76" i="3" s="1"/>
  <c r="R77" i="3"/>
  <c r="S77" i="3" s="1"/>
  <c r="R78" i="3"/>
  <c r="S78" i="3" s="1"/>
  <c r="R79" i="3"/>
  <c r="S79" i="3" s="1"/>
  <c r="R80" i="3"/>
  <c r="S80" i="3" s="1"/>
  <c r="R81" i="3"/>
  <c r="S81" i="3" s="1"/>
  <c r="R82" i="3"/>
  <c r="S82" i="3" s="1"/>
  <c r="R83" i="3"/>
  <c r="S83" i="3" s="1"/>
  <c r="R84" i="3"/>
  <c r="S84" i="3" s="1"/>
  <c r="R85" i="3"/>
  <c r="S85" i="3" s="1"/>
  <c r="R86" i="3"/>
  <c r="S86" i="3" s="1"/>
  <c r="R87" i="3"/>
  <c r="S87" i="3" s="1"/>
  <c r="R88" i="3"/>
  <c r="S88" i="3" s="1"/>
  <c r="R89" i="3"/>
  <c r="S89" i="3" s="1"/>
  <c r="R90" i="3"/>
  <c r="S90" i="3" s="1"/>
  <c r="R91" i="3"/>
  <c r="S91" i="3" s="1"/>
  <c r="R92" i="3"/>
  <c r="S92" i="3" s="1"/>
  <c r="R93" i="3"/>
  <c r="S93" i="3" s="1"/>
  <c r="R94" i="3"/>
  <c r="S94" i="3" s="1"/>
  <c r="R95" i="3"/>
  <c r="S95" i="3" s="1"/>
  <c r="R96" i="3"/>
  <c r="S96" i="3" s="1"/>
  <c r="R97" i="3"/>
  <c r="S97" i="3" s="1"/>
  <c r="R98" i="3"/>
  <c r="S98" i="3" s="1"/>
  <c r="R99" i="3"/>
  <c r="S99" i="3" s="1"/>
  <c r="R100" i="3"/>
  <c r="S100" i="3" s="1"/>
  <c r="R101" i="3"/>
  <c r="S101" i="3" s="1"/>
  <c r="R102" i="3"/>
  <c r="S102" i="3" s="1"/>
  <c r="R103" i="3"/>
  <c r="S103" i="3" s="1"/>
  <c r="R104" i="3"/>
  <c r="S104" i="3" s="1"/>
  <c r="R105" i="3"/>
  <c r="S105" i="3" s="1"/>
  <c r="R106" i="3"/>
  <c r="S106" i="3" s="1"/>
  <c r="R107" i="3"/>
  <c r="S107" i="3" s="1"/>
  <c r="R108" i="3"/>
  <c r="S108" i="3" s="1"/>
  <c r="R109" i="3"/>
  <c r="S109" i="3" s="1"/>
  <c r="R110" i="3"/>
  <c r="S110" i="3" s="1"/>
  <c r="R111" i="3"/>
  <c r="S111" i="3" s="1"/>
  <c r="R112" i="3"/>
  <c r="S112" i="3" s="1"/>
  <c r="R113" i="3"/>
  <c r="S113" i="3" s="1"/>
  <c r="R114" i="3"/>
  <c r="S114" i="3" s="1"/>
  <c r="R115" i="3"/>
  <c r="S115" i="3" s="1"/>
  <c r="R116" i="3"/>
  <c r="S116" i="3" s="1"/>
  <c r="R117" i="3"/>
  <c r="S117" i="3" s="1"/>
  <c r="R118" i="3"/>
  <c r="S118" i="3" s="1"/>
  <c r="R119" i="3"/>
  <c r="S119" i="3" s="1"/>
  <c r="R120" i="3"/>
  <c r="S120" i="3" s="1"/>
  <c r="R121" i="3"/>
  <c r="S121" i="3" s="1"/>
  <c r="R122" i="3"/>
  <c r="S122" i="3" s="1"/>
  <c r="R123" i="3"/>
  <c r="S123" i="3" s="1"/>
  <c r="R124" i="3"/>
  <c r="S124" i="3" s="1"/>
  <c r="R125" i="3"/>
  <c r="S125" i="3" s="1"/>
  <c r="R126" i="3"/>
  <c r="S126" i="3" s="1"/>
  <c r="R127" i="3"/>
  <c r="S127" i="3" s="1"/>
  <c r="R128" i="3"/>
  <c r="S128" i="3" s="1"/>
  <c r="R129" i="3"/>
  <c r="S129" i="3" s="1"/>
  <c r="R130" i="3"/>
  <c r="S130" i="3" s="1"/>
  <c r="R131" i="3"/>
  <c r="S131" i="3" s="1"/>
  <c r="R132" i="3"/>
  <c r="S132" i="3" s="1"/>
  <c r="R133" i="3"/>
  <c r="S133" i="3" s="1"/>
  <c r="R134" i="3"/>
  <c r="S134" i="3" s="1"/>
  <c r="R135" i="3"/>
  <c r="S135" i="3" s="1"/>
  <c r="R136" i="3"/>
  <c r="S136" i="3" s="1"/>
  <c r="R137" i="3"/>
  <c r="S137" i="3" s="1"/>
  <c r="R138" i="3"/>
  <c r="S138" i="3" s="1"/>
  <c r="R139" i="3"/>
  <c r="S139" i="3" s="1"/>
  <c r="R140" i="3"/>
  <c r="S140" i="3" s="1"/>
  <c r="R141" i="3"/>
  <c r="S141" i="3" s="1"/>
  <c r="R142" i="3"/>
  <c r="S142" i="3" s="1"/>
  <c r="R143" i="3"/>
  <c r="S143" i="3" s="1"/>
  <c r="R144" i="3"/>
  <c r="S144" i="3" s="1"/>
  <c r="R145" i="3"/>
  <c r="S145" i="3" s="1"/>
  <c r="R146" i="3"/>
  <c r="S146" i="3" s="1"/>
  <c r="R147" i="3"/>
  <c r="S147" i="3" s="1"/>
  <c r="R148" i="3"/>
  <c r="S148" i="3" s="1"/>
  <c r="R149" i="3"/>
  <c r="S149" i="3" s="1"/>
  <c r="R150" i="3"/>
  <c r="S150" i="3" s="1"/>
  <c r="R151" i="3"/>
  <c r="S151" i="3" s="1"/>
  <c r="R152" i="3"/>
  <c r="S152" i="3" s="1"/>
  <c r="R153" i="3"/>
  <c r="S153" i="3" s="1"/>
  <c r="R154" i="3"/>
  <c r="S154" i="3" s="1"/>
  <c r="R155" i="3"/>
  <c r="S155" i="3" s="1"/>
  <c r="R156" i="3"/>
  <c r="S156" i="3" s="1"/>
  <c r="R157" i="3"/>
  <c r="S157" i="3" s="1"/>
  <c r="R158" i="3"/>
  <c r="S158" i="3" s="1"/>
  <c r="R159" i="3"/>
  <c r="S159" i="3" s="1"/>
  <c r="R160" i="3"/>
  <c r="S160" i="3" s="1"/>
  <c r="R161" i="3"/>
  <c r="S161" i="3" s="1"/>
  <c r="R162" i="3"/>
  <c r="S162" i="3" s="1"/>
  <c r="R163" i="3"/>
  <c r="S163" i="3" s="1"/>
  <c r="R164" i="3"/>
  <c r="S164" i="3" s="1"/>
  <c r="R165" i="3"/>
  <c r="S165" i="3" s="1"/>
  <c r="R166" i="3"/>
  <c r="S166" i="3" s="1"/>
  <c r="R167" i="3"/>
  <c r="S167" i="3" s="1"/>
  <c r="R168" i="3"/>
  <c r="S168" i="3" s="1"/>
  <c r="R169" i="3"/>
  <c r="S169" i="3" s="1"/>
  <c r="R170" i="3"/>
  <c r="S170" i="3" s="1"/>
  <c r="R171" i="3"/>
  <c r="S171" i="3" s="1"/>
  <c r="R172" i="3"/>
  <c r="S172" i="3" s="1"/>
  <c r="R173" i="3"/>
  <c r="S173" i="3" s="1"/>
  <c r="R174" i="3"/>
  <c r="S174" i="3" s="1"/>
  <c r="R175" i="3"/>
  <c r="S175" i="3" s="1"/>
  <c r="R176" i="3"/>
  <c r="S176" i="3" s="1"/>
  <c r="R177" i="3"/>
  <c r="S177" i="3" s="1"/>
  <c r="R178" i="3"/>
  <c r="S178" i="3" s="1"/>
  <c r="R179" i="3"/>
  <c r="S179" i="3" s="1"/>
  <c r="R180" i="3"/>
  <c r="S180" i="3" s="1"/>
  <c r="R181" i="3"/>
  <c r="S181" i="3" s="1"/>
  <c r="R182" i="3"/>
  <c r="S182" i="3" s="1"/>
  <c r="R183" i="3"/>
  <c r="S183" i="3" s="1"/>
  <c r="R184" i="3"/>
  <c r="S184" i="3" s="1"/>
  <c r="R185" i="3"/>
  <c r="S185" i="3" s="1"/>
  <c r="R186" i="3"/>
  <c r="S186" i="3" s="1"/>
  <c r="R187" i="3"/>
  <c r="S187" i="3" s="1"/>
  <c r="R188" i="3"/>
  <c r="S188" i="3" s="1"/>
  <c r="R189" i="3"/>
  <c r="S189" i="3" s="1"/>
  <c r="R190" i="3"/>
  <c r="S190" i="3" s="1"/>
  <c r="R191" i="3"/>
  <c r="S191" i="3" s="1"/>
  <c r="R192" i="3"/>
  <c r="S192" i="3" s="1"/>
  <c r="R193" i="3"/>
  <c r="S193" i="3" s="1"/>
  <c r="R194" i="3"/>
  <c r="S194" i="3" s="1"/>
  <c r="R195" i="3"/>
  <c r="S195" i="3" s="1"/>
  <c r="R196" i="3"/>
  <c r="S196" i="3" s="1"/>
  <c r="R197" i="3"/>
  <c r="S197" i="3" s="1"/>
  <c r="R198" i="3"/>
  <c r="S198" i="3" s="1"/>
  <c r="R199" i="3"/>
  <c r="S199" i="3" s="1"/>
  <c r="R200" i="3"/>
  <c r="S200" i="3" s="1"/>
  <c r="R201" i="3"/>
  <c r="S201" i="3" s="1"/>
  <c r="R202" i="3"/>
  <c r="S202" i="3" s="1"/>
  <c r="R203" i="3"/>
  <c r="S203" i="3" s="1"/>
  <c r="R204" i="3"/>
  <c r="S204" i="3" s="1"/>
  <c r="R205" i="3"/>
  <c r="S205" i="3" s="1"/>
  <c r="R206" i="3"/>
  <c r="S206" i="3" s="1"/>
  <c r="R207" i="3"/>
  <c r="S207" i="3" s="1"/>
  <c r="R208" i="3"/>
  <c r="S208" i="3" s="1"/>
  <c r="R209" i="3"/>
  <c r="S209" i="3" s="1"/>
  <c r="R210" i="3"/>
  <c r="S210" i="3" s="1"/>
  <c r="R211" i="3"/>
  <c r="S211" i="3" s="1"/>
  <c r="R212" i="3"/>
  <c r="S212" i="3" s="1"/>
  <c r="R213" i="3"/>
  <c r="S213" i="3" s="1"/>
  <c r="R214" i="3"/>
  <c r="S214" i="3" s="1"/>
  <c r="R215" i="3"/>
  <c r="S215" i="3" s="1"/>
  <c r="R216" i="3"/>
  <c r="S216" i="3" s="1"/>
  <c r="R217" i="3"/>
  <c r="S217" i="3" s="1"/>
  <c r="R218" i="3"/>
  <c r="S218" i="3" s="1"/>
  <c r="R219" i="3"/>
  <c r="S219" i="3" s="1"/>
  <c r="R220" i="3"/>
  <c r="S220" i="3" s="1"/>
  <c r="R221" i="3"/>
  <c r="S221" i="3" s="1"/>
  <c r="R222" i="3"/>
  <c r="S222" i="3" s="1"/>
  <c r="R223" i="3"/>
  <c r="S223" i="3" s="1"/>
  <c r="R224" i="3"/>
  <c r="S224" i="3" s="1"/>
  <c r="R225" i="3"/>
  <c r="S225" i="3" s="1"/>
  <c r="R226" i="3"/>
  <c r="S226" i="3" s="1"/>
  <c r="R227" i="3"/>
  <c r="S227" i="3" s="1"/>
  <c r="R228" i="3"/>
  <c r="S228" i="3" s="1"/>
  <c r="R229" i="3"/>
  <c r="S229" i="3" s="1"/>
  <c r="R230" i="3"/>
  <c r="S230" i="3" s="1"/>
  <c r="R231" i="3"/>
  <c r="S231" i="3" s="1"/>
  <c r="R232" i="3"/>
  <c r="S232" i="3" s="1"/>
  <c r="R233" i="3"/>
  <c r="S233" i="3" s="1"/>
  <c r="R234" i="3"/>
  <c r="S234" i="3" s="1"/>
  <c r="R235" i="3"/>
  <c r="S235" i="3" s="1"/>
  <c r="R236" i="3"/>
  <c r="S236" i="3" s="1"/>
  <c r="R237" i="3"/>
  <c r="S237" i="3" s="1"/>
  <c r="R238" i="3"/>
  <c r="S238" i="3" s="1"/>
  <c r="R239" i="3"/>
  <c r="S239" i="3" s="1"/>
  <c r="R240" i="3"/>
  <c r="S240" i="3" s="1"/>
  <c r="R241" i="3"/>
  <c r="S241" i="3" s="1"/>
  <c r="R242" i="3"/>
  <c r="S242" i="3" s="1"/>
  <c r="R243" i="3"/>
  <c r="S243" i="3" s="1"/>
  <c r="R244" i="3"/>
  <c r="S244" i="3" s="1"/>
  <c r="R245" i="3"/>
  <c r="S245" i="3" s="1"/>
  <c r="R246" i="3"/>
  <c r="S246" i="3" s="1"/>
  <c r="R247" i="3"/>
  <c r="S247" i="3" s="1"/>
  <c r="R248" i="3"/>
  <c r="S248" i="3" s="1"/>
  <c r="R249" i="3"/>
  <c r="S249" i="3" s="1"/>
  <c r="R250" i="3"/>
  <c r="S250" i="3" s="1"/>
  <c r="R251" i="3"/>
  <c r="S251" i="3" s="1"/>
  <c r="R252" i="3"/>
  <c r="S252" i="3" s="1"/>
  <c r="R253" i="3"/>
  <c r="S253" i="3" s="1"/>
  <c r="R254" i="3"/>
  <c r="S254" i="3" s="1"/>
  <c r="R255" i="3"/>
  <c r="S255" i="3" s="1"/>
  <c r="R256" i="3"/>
  <c r="S256" i="3" s="1"/>
  <c r="R257" i="3"/>
  <c r="S257" i="3" s="1"/>
  <c r="R258" i="3"/>
  <c r="S258" i="3" s="1"/>
  <c r="R259" i="3"/>
  <c r="S259" i="3" s="1"/>
  <c r="R260" i="3"/>
  <c r="S260" i="3" s="1"/>
  <c r="R261" i="3"/>
  <c r="S261" i="3" s="1"/>
  <c r="R262" i="3"/>
  <c r="S262" i="3" s="1"/>
  <c r="R263" i="3"/>
  <c r="S263" i="3" s="1"/>
  <c r="R264" i="3"/>
  <c r="S264" i="3" s="1"/>
  <c r="R265" i="3"/>
  <c r="S265" i="3" s="1"/>
  <c r="R266" i="3"/>
  <c r="S266" i="3" s="1"/>
  <c r="R267" i="3"/>
  <c r="S267" i="3" s="1"/>
  <c r="R268" i="3"/>
  <c r="S268" i="3" s="1"/>
  <c r="R269" i="3"/>
  <c r="S269" i="3" s="1"/>
  <c r="R270" i="3"/>
  <c r="S270" i="3" s="1"/>
  <c r="R271" i="3"/>
  <c r="S271" i="3" s="1"/>
  <c r="R272" i="3"/>
  <c r="S272" i="3" s="1"/>
  <c r="R273" i="3"/>
  <c r="S273" i="3" s="1"/>
  <c r="R274" i="3"/>
  <c r="S274" i="3" s="1"/>
  <c r="R8" i="3"/>
  <c r="E13" i="7"/>
  <c r="E14" i="7"/>
  <c r="E15" i="7"/>
  <c r="E16" i="7"/>
  <c r="E17" i="7"/>
  <c r="E18" i="7"/>
  <c r="E19" i="7"/>
  <c r="E20" i="7"/>
  <c r="F14" i="1"/>
  <c r="C9" i="4"/>
  <c r="W28" i="6" l="1"/>
  <c r="W27" i="6"/>
  <c r="W29" i="6"/>
  <c r="W25" i="6"/>
  <c r="W24" i="6"/>
  <c r="M31" i="1"/>
  <c r="C25" i="6"/>
  <c r="C26" i="6"/>
  <c r="J45" i="7"/>
  <c r="J44" i="7"/>
  <c r="J49" i="7"/>
  <c r="C46" i="7"/>
  <c r="M43" i="1"/>
  <c r="C45" i="7"/>
  <c r="F44" i="1"/>
  <c r="M44" i="1"/>
  <c r="C50" i="7"/>
  <c r="C49" i="7"/>
  <c r="C48" i="7"/>
  <c r="J48" i="7"/>
  <c r="F32" i="1"/>
  <c r="M32" i="1"/>
  <c r="F43" i="1"/>
  <c r="F31" i="1"/>
  <c r="C20" i="4"/>
  <c r="C26" i="4"/>
  <c r="C66" i="7"/>
  <c r="D5" i="6"/>
  <c r="D15" i="6" s="1"/>
  <c r="C14" i="6"/>
  <c r="C16" i="6"/>
  <c r="C8" i="6"/>
  <c r="C9" i="6"/>
  <c r="C10" i="6"/>
  <c r="C7" i="6"/>
  <c r="C11" i="6"/>
  <c r="C12" i="6"/>
  <c r="C13" i="6"/>
  <c r="J60" i="7"/>
  <c r="X5" i="6"/>
  <c r="X15" i="6" s="1"/>
  <c r="W10" i="6"/>
  <c r="W7" i="6"/>
  <c r="W11" i="6"/>
  <c r="W12" i="6"/>
  <c r="W13" i="6"/>
  <c r="W14" i="6"/>
  <c r="W16" i="6"/>
  <c r="W8" i="6"/>
  <c r="W9" i="6"/>
  <c r="J63" i="7"/>
  <c r="J66" i="7"/>
  <c r="X22" i="6"/>
  <c r="C63" i="7"/>
  <c r="C44" i="7"/>
  <c r="S8" i="3"/>
  <c r="D22" i="6"/>
  <c r="K56" i="7"/>
  <c r="K66" i="7" s="1"/>
  <c r="D56" i="7"/>
  <c r="D66" i="7" s="1"/>
  <c r="K42" i="7"/>
  <c r="D42" i="7"/>
  <c r="M20" i="7"/>
  <c r="F20" i="7"/>
  <c r="M19" i="7"/>
  <c r="F19" i="7"/>
  <c r="M18" i="7"/>
  <c r="F18" i="7"/>
  <c r="M17" i="7"/>
  <c r="F17" i="7"/>
  <c r="M16" i="7"/>
  <c r="F16" i="7"/>
  <c r="M15" i="7"/>
  <c r="F15" i="7"/>
  <c r="M14" i="7"/>
  <c r="F14" i="7"/>
  <c r="M13" i="7"/>
  <c r="K7" i="7"/>
  <c r="X25" i="6" l="1"/>
  <c r="X27" i="6"/>
  <c r="X28" i="6"/>
  <c r="X29" i="6"/>
  <c r="X24" i="6"/>
  <c r="F45" i="1"/>
  <c r="D26" i="6"/>
  <c r="D24" i="6"/>
  <c r="D25" i="6"/>
  <c r="M45" i="1"/>
  <c r="K63" i="7"/>
  <c r="K60" i="7"/>
  <c r="D63" i="7"/>
  <c r="Y5" i="6"/>
  <c r="Y15" i="6" s="1"/>
  <c r="X9" i="6"/>
  <c r="X13" i="6"/>
  <c r="X8" i="6"/>
  <c r="X12" i="6"/>
  <c r="X11" i="6"/>
  <c r="X16" i="6"/>
  <c r="X7" i="6"/>
  <c r="X10" i="6"/>
  <c r="X14" i="6"/>
  <c r="E5" i="6"/>
  <c r="E15" i="6" s="1"/>
  <c r="D11" i="6"/>
  <c r="D16" i="6"/>
  <c r="D7" i="6"/>
  <c r="D10" i="6"/>
  <c r="D14" i="6"/>
  <c r="D9" i="6"/>
  <c r="D13" i="6"/>
  <c r="D8" i="6"/>
  <c r="D12" i="6"/>
  <c r="Y22" i="6"/>
  <c r="L56" i="7"/>
  <c r="D60" i="7"/>
  <c r="L42" i="7"/>
  <c r="K48" i="7"/>
  <c r="K51" i="7"/>
  <c r="K50" i="7"/>
  <c r="K46" i="7"/>
  <c r="K45" i="7"/>
  <c r="K49" i="7"/>
  <c r="K44" i="7"/>
  <c r="K47" i="7"/>
  <c r="E42" i="7"/>
  <c r="D44" i="7"/>
  <c r="D47" i="7"/>
  <c r="D50" i="7"/>
  <c r="D46" i="7"/>
  <c r="D45" i="7"/>
  <c r="D48" i="7"/>
  <c r="D49" i="7"/>
  <c r="D51" i="7"/>
  <c r="E22" i="6"/>
  <c r="E56" i="7"/>
  <c r="M21" i="7"/>
  <c r="N21" i="7" l="1"/>
  <c r="Y29" i="6"/>
  <c r="Y27" i="6"/>
  <c r="Y28" i="6"/>
  <c r="Y25" i="6"/>
  <c r="Y24" i="6"/>
  <c r="E24" i="6"/>
  <c r="E25" i="6"/>
  <c r="E26" i="6"/>
  <c r="L60" i="7"/>
  <c r="L63" i="7"/>
  <c r="L66" i="7"/>
  <c r="E66" i="7"/>
  <c r="E63" i="7"/>
  <c r="F5" i="6"/>
  <c r="F15" i="6" s="1"/>
  <c r="E11" i="6"/>
  <c r="E16" i="6"/>
  <c r="E7" i="6"/>
  <c r="E10" i="6"/>
  <c r="E14" i="6"/>
  <c r="E9" i="6"/>
  <c r="E13" i="6"/>
  <c r="E8" i="6"/>
  <c r="E12" i="6"/>
  <c r="Z22" i="6"/>
  <c r="Z5" i="6"/>
  <c r="Z15" i="6" s="1"/>
  <c r="Y9" i="6"/>
  <c r="Y13" i="6"/>
  <c r="Y8" i="6"/>
  <c r="Y12" i="6"/>
  <c r="Y11" i="6"/>
  <c r="Y16" i="6"/>
  <c r="Y7" i="6"/>
  <c r="Y10" i="6"/>
  <c r="Y14" i="6"/>
  <c r="M56" i="7"/>
  <c r="F56" i="7"/>
  <c r="E60" i="7"/>
  <c r="K52" i="7"/>
  <c r="K64" i="7" s="1"/>
  <c r="M42" i="7"/>
  <c r="L45" i="7"/>
  <c r="L48" i="7"/>
  <c r="L47" i="7"/>
  <c r="L51" i="7"/>
  <c r="L50" i="7"/>
  <c r="L46" i="7"/>
  <c r="L49" i="7"/>
  <c r="L44" i="7"/>
  <c r="D52" i="7"/>
  <c r="D64" i="7" s="1"/>
  <c r="F42" i="7"/>
  <c r="E49" i="7"/>
  <c r="E44" i="7"/>
  <c r="E51" i="7"/>
  <c r="E46" i="7"/>
  <c r="E47" i="7"/>
  <c r="E50" i="7"/>
  <c r="E45" i="7"/>
  <c r="E48" i="7"/>
  <c r="F22" i="6"/>
  <c r="N14" i="7"/>
  <c r="N18" i="7"/>
  <c r="N17" i="7"/>
  <c r="N16" i="7"/>
  <c r="N13" i="7"/>
  <c r="N15" i="7"/>
  <c r="N19" i="7"/>
  <c r="N20" i="7"/>
  <c r="Z28" i="6" l="1"/>
  <c r="Z27" i="6"/>
  <c r="Z29" i="6"/>
  <c r="Z25" i="6"/>
  <c r="Z24" i="6"/>
  <c r="F24" i="6"/>
  <c r="F25" i="6"/>
  <c r="F26" i="6"/>
  <c r="M66" i="7"/>
  <c r="M60" i="7"/>
  <c r="M63" i="7"/>
  <c r="F66" i="7"/>
  <c r="F63" i="7"/>
  <c r="AA22" i="6"/>
  <c r="AA5" i="6"/>
  <c r="AA15" i="6" s="1"/>
  <c r="Z10" i="6"/>
  <c r="Z14" i="6"/>
  <c r="Z9" i="6"/>
  <c r="Z13" i="6"/>
  <c r="Z8" i="6"/>
  <c r="Z12" i="6"/>
  <c r="Z11" i="6"/>
  <c r="Z16" i="6"/>
  <c r="Z7" i="6"/>
  <c r="G5" i="6"/>
  <c r="G15" i="6" s="1"/>
  <c r="F8" i="6"/>
  <c r="F12" i="6"/>
  <c r="F11" i="6"/>
  <c r="F16" i="6"/>
  <c r="F7" i="6"/>
  <c r="F10" i="6"/>
  <c r="F14" i="6"/>
  <c r="F9" i="6"/>
  <c r="F13" i="6"/>
  <c r="D61" i="7"/>
  <c r="D67" i="7"/>
  <c r="K67" i="7"/>
  <c r="K61" i="7"/>
  <c r="F60" i="7"/>
  <c r="M50" i="7"/>
  <c r="M47" i="7"/>
  <c r="M45" i="7"/>
  <c r="M44" i="7"/>
  <c r="M48" i="7"/>
  <c r="M51" i="7"/>
  <c r="M46" i="7"/>
  <c r="M49" i="7"/>
  <c r="L52" i="7"/>
  <c r="E52" i="7"/>
  <c r="F46" i="7"/>
  <c r="F49" i="7"/>
  <c r="F48" i="7"/>
  <c r="F44" i="7"/>
  <c r="F47" i="7"/>
  <c r="F51" i="7"/>
  <c r="F50" i="7"/>
  <c r="F45" i="7"/>
  <c r="G22" i="6"/>
  <c r="I86" i="2"/>
  <c r="L171" i="3" s="1"/>
  <c r="N171" i="3" s="1"/>
  <c r="AA27" i="6" l="1"/>
  <c r="AA25" i="6"/>
  <c r="AA28" i="6"/>
  <c r="AA29" i="6"/>
  <c r="AA24" i="6"/>
  <c r="Z17" i="6"/>
  <c r="G26" i="6"/>
  <c r="G25" i="6"/>
  <c r="G24" i="6"/>
  <c r="AB5" i="6"/>
  <c r="AB15" i="6" s="1"/>
  <c r="AA7" i="6"/>
  <c r="AA10" i="6"/>
  <c r="AA14" i="6"/>
  <c r="AA9" i="6"/>
  <c r="AA13" i="6"/>
  <c r="AA8" i="6"/>
  <c r="AA12" i="6"/>
  <c r="AA11" i="6"/>
  <c r="AA16" i="6"/>
  <c r="H5" i="6"/>
  <c r="H15" i="6" s="1"/>
  <c r="G8" i="6"/>
  <c r="G12" i="6"/>
  <c r="G11" i="6"/>
  <c r="G16" i="6"/>
  <c r="G7" i="6"/>
  <c r="G10" i="6"/>
  <c r="G14" i="6"/>
  <c r="G9" i="6"/>
  <c r="G13" i="6"/>
  <c r="AB22" i="6"/>
  <c r="L67" i="7"/>
  <c r="L64" i="7"/>
  <c r="L61" i="7"/>
  <c r="M52" i="7"/>
  <c r="F52" i="7"/>
  <c r="E61" i="7"/>
  <c r="E67" i="7"/>
  <c r="E64" i="7"/>
  <c r="H22" i="6"/>
  <c r="M21" i="3"/>
  <c r="K9" i="3"/>
  <c r="M9" i="3"/>
  <c r="K10" i="3"/>
  <c r="M10" i="3"/>
  <c r="K11" i="3"/>
  <c r="M11" i="3"/>
  <c r="K12" i="3"/>
  <c r="M12" i="3"/>
  <c r="K13" i="3"/>
  <c r="M13" i="3"/>
  <c r="K14" i="3"/>
  <c r="M14" i="3"/>
  <c r="K15" i="3"/>
  <c r="M15" i="3"/>
  <c r="K16" i="3"/>
  <c r="M16" i="3"/>
  <c r="K17" i="3"/>
  <c r="M17" i="3"/>
  <c r="K18" i="3"/>
  <c r="M18" i="3"/>
  <c r="K19" i="3"/>
  <c r="M19" i="3"/>
  <c r="K20" i="3"/>
  <c r="M20" i="3"/>
  <c r="K21" i="3"/>
  <c r="K22" i="3"/>
  <c r="M22" i="3"/>
  <c r="K23" i="3"/>
  <c r="M23" i="3"/>
  <c r="K24" i="3"/>
  <c r="M24" i="3"/>
  <c r="K25" i="3"/>
  <c r="M25" i="3"/>
  <c r="K26" i="3"/>
  <c r="M26" i="3"/>
  <c r="K27" i="3"/>
  <c r="M27" i="3"/>
  <c r="K28" i="3"/>
  <c r="M28" i="3"/>
  <c r="K29" i="3"/>
  <c r="M29" i="3"/>
  <c r="K30" i="3"/>
  <c r="M30" i="3"/>
  <c r="K31" i="3"/>
  <c r="M31" i="3"/>
  <c r="K32" i="3"/>
  <c r="M32" i="3"/>
  <c r="K33" i="3"/>
  <c r="M33" i="3"/>
  <c r="K34" i="3"/>
  <c r="M34" i="3"/>
  <c r="K35" i="3"/>
  <c r="M35" i="3"/>
  <c r="K36" i="3"/>
  <c r="M36" i="3"/>
  <c r="K37" i="3"/>
  <c r="M37" i="3"/>
  <c r="K38" i="3"/>
  <c r="M38" i="3"/>
  <c r="K39" i="3"/>
  <c r="M39" i="3"/>
  <c r="K40" i="3"/>
  <c r="M40" i="3"/>
  <c r="K41" i="3"/>
  <c r="M41" i="3"/>
  <c r="K42" i="3"/>
  <c r="M42" i="3"/>
  <c r="K43" i="3"/>
  <c r="M43" i="3"/>
  <c r="K44" i="3"/>
  <c r="M44" i="3"/>
  <c r="K45" i="3"/>
  <c r="M45" i="3"/>
  <c r="K46" i="3"/>
  <c r="M46" i="3"/>
  <c r="K47" i="3"/>
  <c r="M47" i="3"/>
  <c r="K48" i="3"/>
  <c r="M48" i="3"/>
  <c r="K49" i="3"/>
  <c r="M49" i="3"/>
  <c r="K50" i="3"/>
  <c r="M50" i="3"/>
  <c r="K51" i="3"/>
  <c r="M51" i="3"/>
  <c r="K52" i="3"/>
  <c r="M52" i="3"/>
  <c r="K53" i="3"/>
  <c r="M53" i="3"/>
  <c r="K54" i="3"/>
  <c r="M54" i="3"/>
  <c r="K55" i="3"/>
  <c r="M55" i="3"/>
  <c r="K56" i="3"/>
  <c r="M56" i="3"/>
  <c r="K57" i="3"/>
  <c r="M57" i="3"/>
  <c r="K58" i="3"/>
  <c r="M58" i="3"/>
  <c r="K59" i="3"/>
  <c r="M59" i="3"/>
  <c r="K60" i="3"/>
  <c r="M60" i="3"/>
  <c r="K61" i="3"/>
  <c r="M61" i="3"/>
  <c r="K62" i="3"/>
  <c r="M62" i="3"/>
  <c r="K63" i="3"/>
  <c r="M63" i="3"/>
  <c r="K64" i="3"/>
  <c r="M64" i="3"/>
  <c r="K65" i="3"/>
  <c r="M65" i="3"/>
  <c r="K66" i="3"/>
  <c r="M66" i="3"/>
  <c r="K67" i="3"/>
  <c r="M67" i="3"/>
  <c r="K68" i="3"/>
  <c r="M68" i="3"/>
  <c r="K69" i="3"/>
  <c r="M69" i="3"/>
  <c r="K70" i="3"/>
  <c r="M70" i="3"/>
  <c r="K71" i="3"/>
  <c r="M71" i="3"/>
  <c r="K72" i="3"/>
  <c r="M72" i="3"/>
  <c r="K73" i="3"/>
  <c r="M73" i="3"/>
  <c r="K74" i="3"/>
  <c r="M74" i="3"/>
  <c r="K75" i="3"/>
  <c r="M75" i="3"/>
  <c r="K76" i="3"/>
  <c r="M76" i="3"/>
  <c r="K77" i="3"/>
  <c r="M77" i="3"/>
  <c r="K78" i="3"/>
  <c r="M78" i="3"/>
  <c r="K79" i="3"/>
  <c r="M79" i="3"/>
  <c r="K80" i="3"/>
  <c r="M80" i="3"/>
  <c r="K81" i="3"/>
  <c r="M81" i="3"/>
  <c r="K82" i="3"/>
  <c r="M82" i="3"/>
  <c r="K83" i="3"/>
  <c r="M83" i="3"/>
  <c r="K84" i="3"/>
  <c r="M84" i="3"/>
  <c r="K85" i="3"/>
  <c r="M85" i="3"/>
  <c r="K86" i="3"/>
  <c r="M86" i="3"/>
  <c r="K87" i="3"/>
  <c r="M87" i="3"/>
  <c r="K88" i="3"/>
  <c r="M88" i="3"/>
  <c r="K89" i="3"/>
  <c r="M89" i="3"/>
  <c r="K90" i="3"/>
  <c r="M90" i="3"/>
  <c r="K91" i="3"/>
  <c r="M91" i="3"/>
  <c r="K92" i="3"/>
  <c r="M92" i="3"/>
  <c r="K93" i="3"/>
  <c r="M93" i="3"/>
  <c r="K94" i="3"/>
  <c r="M94" i="3"/>
  <c r="K95" i="3"/>
  <c r="M95" i="3"/>
  <c r="K96" i="3"/>
  <c r="M96" i="3"/>
  <c r="K97" i="3"/>
  <c r="M97" i="3"/>
  <c r="K98" i="3"/>
  <c r="M98" i="3"/>
  <c r="K99" i="3"/>
  <c r="M99" i="3"/>
  <c r="K100" i="3"/>
  <c r="M100" i="3"/>
  <c r="K101" i="3"/>
  <c r="M101" i="3"/>
  <c r="K102" i="3"/>
  <c r="M102" i="3"/>
  <c r="K103" i="3"/>
  <c r="M103" i="3"/>
  <c r="K104" i="3"/>
  <c r="M104" i="3"/>
  <c r="K105" i="3"/>
  <c r="M105" i="3"/>
  <c r="K106" i="3"/>
  <c r="M106" i="3"/>
  <c r="K107" i="3"/>
  <c r="M107" i="3"/>
  <c r="K108" i="3"/>
  <c r="M108" i="3"/>
  <c r="K109" i="3"/>
  <c r="M109" i="3"/>
  <c r="K110" i="3"/>
  <c r="M110" i="3"/>
  <c r="K111" i="3"/>
  <c r="M111" i="3"/>
  <c r="K112" i="3"/>
  <c r="M112" i="3"/>
  <c r="K113" i="3"/>
  <c r="M113" i="3"/>
  <c r="K114" i="3"/>
  <c r="M114" i="3"/>
  <c r="K115" i="3"/>
  <c r="M115" i="3"/>
  <c r="K116" i="3"/>
  <c r="M116" i="3"/>
  <c r="K117" i="3"/>
  <c r="M117" i="3"/>
  <c r="K118" i="3"/>
  <c r="M118" i="3"/>
  <c r="K119" i="3"/>
  <c r="M119" i="3"/>
  <c r="K120" i="3"/>
  <c r="M120" i="3"/>
  <c r="K121" i="3"/>
  <c r="M121" i="3"/>
  <c r="K122" i="3"/>
  <c r="M122" i="3"/>
  <c r="K123" i="3"/>
  <c r="M123" i="3"/>
  <c r="K124" i="3"/>
  <c r="M124" i="3"/>
  <c r="K125" i="3"/>
  <c r="M125" i="3"/>
  <c r="K126" i="3"/>
  <c r="M126" i="3"/>
  <c r="K127" i="3"/>
  <c r="M127" i="3"/>
  <c r="K128" i="3"/>
  <c r="M128" i="3"/>
  <c r="K129" i="3"/>
  <c r="M129" i="3"/>
  <c r="K130" i="3"/>
  <c r="M130" i="3"/>
  <c r="K131" i="3"/>
  <c r="M131" i="3"/>
  <c r="K132" i="3"/>
  <c r="M132" i="3"/>
  <c r="K133" i="3"/>
  <c r="M133" i="3"/>
  <c r="K134" i="3"/>
  <c r="M134" i="3"/>
  <c r="K135" i="3"/>
  <c r="M135" i="3"/>
  <c r="K136" i="3"/>
  <c r="M136" i="3"/>
  <c r="K137" i="3"/>
  <c r="M137" i="3"/>
  <c r="K138" i="3"/>
  <c r="M138" i="3"/>
  <c r="K139" i="3"/>
  <c r="M139" i="3"/>
  <c r="K140" i="3"/>
  <c r="M140" i="3"/>
  <c r="K141" i="3"/>
  <c r="M141" i="3"/>
  <c r="K142" i="3"/>
  <c r="M142" i="3"/>
  <c r="K143" i="3"/>
  <c r="M143" i="3"/>
  <c r="K144" i="3"/>
  <c r="M144" i="3"/>
  <c r="K145" i="3"/>
  <c r="M145" i="3"/>
  <c r="K146" i="3"/>
  <c r="M146" i="3"/>
  <c r="K147" i="3"/>
  <c r="M147" i="3"/>
  <c r="K148" i="3"/>
  <c r="M148" i="3"/>
  <c r="K149" i="3"/>
  <c r="M149" i="3"/>
  <c r="K150" i="3"/>
  <c r="M150" i="3"/>
  <c r="K151" i="3"/>
  <c r="M151" i="3"/>
  <c r="K152" i="3"/>
  <c r="M152" i="3"/>
  <c r="K153" i="3"/>
  <c r="M153" i="3"/>
  <c r="K154" i="3"/>
  <c r="M154" i="3"/>
  <c r="K155" i="3"/>
  <c r="M155" i="3"/>
  <c r="K156" i="3"/>
  <c r="M156" i="3"/>
  <c r="K157" i="3"/>
  <c r="M157" i="3"/>
  <c r="K158" i="3"/>
  <c r="M158" i="3"/>
  <c r="K159" i="3"/>
  <c r="M159" i="3"/>
  <c r="K160" i="3"/>
  <c r="M160" i="3"/>
  <c r="K161" i="3"/>
  <c r="M161" i="3"/>
  <c r="K162" i="3"/>
  <c r="M162" i="3"/>
  <c r="K163" i="3"/>
  <c r="M163" i="3"/>
  <c r="K164" i="3"/>
  <c r="M164" i="3"/>
  <c r="K165" i="3"/>
  <c r="M165" i="3"/>
  <c r="K166" i="3"/>
  <c r="M166" i="3"/>
  <c r="K167" i="3"/>
  <c r="M167" i="3"/>
  <c r="K168" i="3"/>
  <c r="M168" i="3"/>
  <c r="K169" i="3"/>
  <c r="M169" i="3"/>
  <c r="K170" i="3"/>
  <c r="M170" i="3"/>
  <c r="K171" i="3"/>
  <c r="M171" i="3"/>
  <c r="K172" i="3"/>
  <c r="M172" i="3"/>
  <c r="K173" i="3"/>
  <c r="M173" i="3"/>
  <c r="K174" i="3"/>
  <c r="M174" i="3"/>
  <c r="K175" i="3"/>
  <c r="M175" i="3"/>
  <c r="K176" i="3"/>
  <c r="M176" i="3"/>
  <c r="K177" i="3"/>
  <c r="M177" i="3"/>
  <c r="K178" i="3"/>
  <c r="M178" i="3"/>
  <c r="K179" i="3"/>
  <c r="M179" i="3"/>
  <c r="K180" i="3"/>
  <c r="M180" i="3"/>
  <c r="K181" i="3"/>
  <c r="M181" i="3"/>
  <c r="K182" i="3"/>
  <c r="M182" i="3"/>
  <c r="K183" i="3"/>
  <c r="M183" i="3"/>
  <c r="K184" i="3"/>
  <c r="M184" i="3"/>
  <c r="K185" i="3"/>
  <c r="M185" i="3"/>
  <c r="K186" i="3"/>
  <c r="M186" i="3"/>
  <c r="K187" i="3"/>
  <c r="M187" i="3"/>
  <c r="K188" i="3"/>
  <c r="M188" i="3"/>
  <c r="K189" i="3"/>
  <c r="M189" i="3"/>
  <c r="K190" i="3"/>
  <c r="M190" i="3"/>
  <c r="K191" i="3"/>
  <c r="M191" i="3"/>
  <c r="K192" i="3"/>
  <c r="M192" i="3"/>
  <c r="K193" i="3"/>
  <c r="M193" i="3"/>
  <c r="K194" i="3"/>
  <c r="M194" i="3"/>
  <c r="K195" i="3"/>
  <c r="M195" i="3"/>
  <c r="K196" i="3"/>
  <c r="M196" i="3"/>
  <c r="K197" i="3"/>
  <c r="M197" i="3"/>
  <c r="K198" i="3"/>
  <c r="M198" i="3"/>
  <c r="K199" i="3"/>
  <c r="M199" i="3"/>
  <c r="K200" i="3"/>
  <c r="M200" i="3"/>
  <c r="K201" i="3"/>
  <c r="M201" i="3"/>
  <c r="K202" i="3"/>
  <c r="M202" i="3"/>
  <c r="K203" i="3"/>
  <c r="M203" i="3"/>
  <c r="K204" i="3"/>
  <c r="M204" i="3"/>
  <c r="K205" i="3"/>
  <c r="M205" i="3"/>
  <c r="K206" i="3"/>
  <c r="M206" i="3"/>
  <c r="K207" i="3"/>
  <c r="M207" i="3"/>
  <c r="K208" i="3"/>
  <c r="M208" i="3"/>
  <c r="K209" i="3"/>
  <c r="M209" i="3"/>
  <c r="K210" i="3"/>
  <c r="M210" i="3"/>
  <c r="K211" i="3"/>
  <c r="M211" i="3"/>
  <c r="K212" i="3"/>
  <c r="M212" i="3"/>
  <c r="K213" i="3"/>
  <c r="M213" i="3"/>
  <c r="K214" i="3"/>
  <c r="M214" i="3"/>
  <c r="K215" i="3"/>
  <c r="M215" i="3"/>
  <c r="K216" i="3"/>
  <c r="M216" i="3"/>
  <c r="K217" i="3"/>
  <c r="M217" i="3"/>
  <c r="K218" i="3"/>
  <c r="M218" i="3"/>
  <c r="K219" i="3"/>
  <c r="M219" i="3"/>
  <c r="K220" i="3"/>
  <c r="M220" i="3"/>
  <c r="K221" i="3"/>
  <c r="M221" i="3"/>
  <c r="K222" i="3"/>
  <c r="M222" i="3"/>
  <c r="K223" i="3"/>
  <c r="M223" i="3"/>
  <c r="K224" i="3"/>
  <c r="M224" i="3"/>
  <c r="K225" i="3"/>
  <c r="M225" i="3"/>
  <c r="K226" i="3"/>
  <c r="M226" i="3"/>
  <c r="K227" i="3"/>
  <c r="M227" i="3"/>
  <c r="K228" i="3"/>
  <c r="M228" i="3"/>
  <c r="K229" i="3"/>
  <c r="M229" i="3"/>
  <c r="K230" i="3"/>
  <c r="M230" i="3"/>
  <c r="K231" i="3"/>
  <c r="M231" i="3"/>
  <c r="K232" i="3"/>
  <c r="M232" i="3"/>
  <c r="K233" i="3"/>
  <c r="M233" i="3"/>
  <c r="K234" i="3"/>
  <c r="M234" i="3"/>
  <c r="K235" i="3"/>
  <c r="M235" i="3"/>
  <c r="K236" i="3"/>
  <c r="M236" i="3"/>
  <c r="K237" i="3"/>
  <c r="M237" i="3"/>
  <c r="K238" i="3"/>
  <c r="M238" i="3"/>
  <c r="K239" i="3"/>
  <c r="M239" i="3"/>
  <c r="K240" i="3"/>
  <c r="M240" i="3"/>
  <c r="K241" i="3"/>
  <c r="M241" i="3"/>
  <c r="K242" i="3"/>
  <c r="M242" i="3"/>
  <c r="K243" i="3"/>
  <c r="M243" i="3"/>
  <c r="K244" i="3"/>
  <c r="M244" i="3"/>
  <c r="K245" i="3"/>
  <c r="M245" i="3"/>
  <c r="K246" i="3"/>
  <c r="M246" i="3"/>
  <c r="K247" i="3"/>
  <c r="M247" i="3"/>
  <c r="K248" i="3"/>
  <c r="M248" i="3"/>
  <c r="K249" i="3"/>
  <c r="M249" i="3"/>
  <c r="K250" i="3"/>
  <c r="M250" i="3"/>
  <c r="K251" i="3"/>
  <c r="M251" i="3"/>
  <c r="K252" i="3"/>
  <c r="M252" i="3"/>
  <c r="K253" i="3"/>
  <c r="M253" i="3"/>
  <c r="K254" i="3"/>
  <c r="M254" i="3"/>
  <c r="K255" i="3"/>
  <c r="M255" i="3"/>
  <c r="K256" i="3"/>
  <c r="M256" i="3"/>
  <c r="K257" i="3"/>
  <c r="M257" i="3"/>
  <c r="K258" i="3"/>
  <c r="M258" i="3"/>
  <c r="K259" i="3"/>
  <c r="M259" i="3"/>
  <c r="K260" i="3"/>
  <c r="M260" i="3"/>
  <c r="K261" i="3"/>
  <c r="M261" i="3"/>
  <c r="K262" i="3"/>
  <c r="M262" i="3"/>
  <c r="K263" i="3"/>
  <c r="M263" i="3"/>
  <c r="K264" i="3"/>
  <c r="M264" i="3"/>
  <c r="K265" i="3"/>
  <c r="M265" i="3"/>
  <c r="K266" i="3"/>
  <c r="M266" i="3"/>
  <c r="K267" i="3"/>
  <c r="M267" i="3"/>
  <c r="K268" i="3"/>
  <c r="M268" i="3"/>
  <c r="K269" i="3"/>
  <c r="M269" i="3"/>
  <c r="K270" i="3"/>
  <c r="M270" i="3"/>
  <c r="K271" i="3"/>
  <c r="M271" i="3"/>
  <c r="K272" i="3"/>
  <c r="M272" i="3"/>
  <c r="K273" i="3"/>
  <c r="M273" i="3"/>
  <c r="K274" i="3"/>
  <c r="M274" i="3"/>
  <c r="M8" i="3"/>
  <c r="K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8" i="3"/>
  <c r="N94" i="4"/>
  <c r="C94" i="4"/>
  <c r="N67" i="4"/>
  <c r="N80" i="4" s="1"/>
  <c r="C67" i="4"/>
  <c r="C72" i="4" s="1"/>
  <c r="N35" i="4"/>
  <c r="C35" i="4"/>
  <c r="N9" i="4"/>
  <c r="B104" i="4"/>
  <c r="B101" i="4"/>
  <c r="B98" i="4"/>
  <c r="M104" i="4"/>
  <c r="M101" i="4"/>
  <c r="M98" i="4"/>
  <c r="M45" i="4"/>
  <c r="M42" i="4"/>
  <c r="M39" i="4"/>
  <c r="B45" i="4"/>
  <c r="B42" i="4"/>
  <c r="C55" i="1"/>
  <c r="F16" i="1"/>
  <c r="AB28" i="6" l="1"/>
  <c r="AB25" i="6"/>
  <c r="AB27" i="6"/>
  <c r="AB29" i="6"/>
  <c r="AB24" i="6"/>
  <c r="H26" i="6"/>
  <c r="H25" i="6"/>
  <c r="H24" i="6"/>
  <c r="N20" i="4"/>
  <c r="N26" i="4"/>
  <c r="I5" i="6"/>
  <c r="I15" i="6" s="1"/>
  <c r="H9" i="6"/>
  <c r="H13" i="6"/>
  <c r="H8" i="6"/>
  <c r="H12" i="6"/>
  <c r="H11" i="6"/>
  <c r="H16" i="6"/>
  <c r="H7" i="6"/>
  <c r="H10" i="6"/>
  <c r="H14" i="6"/>
  <c r="C45" i="4"/>
  <c r="C104" i="4"/>
  <c r="N98" i="4"/>
  <c r="N101" i="4"/>
  <c r="AC22" i="6"/>
  <c r="N104" i="4"/>
  <c r="N39" i="4"/>
  <c r="N42" i="4"/>
  <c r="N45" i="4"/>
  <c r="AC5" i="6"/>
  <c r="AC15" i="6" s="1"/>
  <c r="AB11" i="6"/>
  <c r="AB16" i="6"/>
  <c r="AB7" i="6"/>
  <c r="AB10" i="6"/>
  <c r="AB14" i="6"/>
  <c r="AB9" i="6"/>
  <c r="AB13" i="6"/>
  <c r="AB8" i="6"/>
  <c r="AB12" i="6"/>
  <c r="M67" i="7"/>
  <c r="M64" i="7"/>
  <c r="M61" i="7"/>
  <c r="F67" i="7"/>
  <c r="F61" i="7"/>
  <c r="F64" i="7"/>
  <c r="I22" i="6"/>
  <c r="C39" i="4"/>
  <c r="C49" i="1"/>
  <c r="N18" i="4"/>
  <c r="N13" i="4"/>
  <c r="W30" i="6"/>
  <c r="N74" i="4"/>
  <c r="N73" i="4"/>
  <c r="N79" i="4"/>
  <c r="N84" i="4"/>
  <c r="N85" i="4"/>
  <c r="N69" i="4"/>
  <c r="N86" i="4"/>
  <c r="N87" i="4"/>
  <c r="C42" i="4"/>
  <c r="N75" i="4"/>
  <c r="N88" i="4"/>
  <c r="N70" i="4"/>
  <c r="N12" i="4"/>
  <c r="N29" i="4"/>
  <c r="N78" i="4"/>
  <c r="N25" i="4"/>
  <c r="N21" i="4"/>
  <c r="N72" i="4"/>
  <c r="N81" i="4"/>
  <c r="N27" i="4"/>
  <c r="C21" i="4"/>
  <c r="N14" i="4"/>
  <c r="N71" i="4"/>
  <c r="N11" i="4"/>
  <c r="N28" i="4"/>
  <c r="C29" i="4"/>
  <c r="C18" i="4"/>
  <c r="C27" i="4"/>
  <c r="C101" i="4"/>
  <c r="C98" i="4"/>
  <c r="C85" i="4"/>
  <c r="C88" i="4"/>
  <c r="C81" i="4"/>
  <c r="C74" i="4"/>
  <c r="C87" i="4"/>
  <c r="C73" i="4"/>
  <c r="C80" i="4"/>
  <c r="C75" i="4"/>
  <c r="C86" i="4"/>
  <c r="C79" i="4"/>
  <c r="C25" i="4"/>
  <c r="C14" i="4"/>
  <c r="C13" i="4"/>
  <c r="C12" i="4"/>
  <c r="C28" i="4"/>
  <c r="AC25" i="6" l="1"/>
  <c r="AC28" i="6"/>
  <c r="AC27" i="6"/>
  <c r="AC29" i="6"/>
  <c r="AC24" i="6"/>
  <c r="I24" i="6"/>
  <c r="I26" i="6"/>
  <c r="I25" i="6"/>
  <c r="AC11" i="6"/>
  <c r="AC16" i="6"/>
  <c r="AC10" i="6"/>
  <c r="AC14" i="6"/>
  <c r="AC9" i="6"/>
  <c r="AC13" i="6"/>
  <c r="AC8" i="6"/>
  <c r="AC12" i="6"/>
  <c r="AC7" i="6"/>
  <c r="I9" i="6"/>
  <c r="I13" i="6"/>
  <c r="I8" i="6"/>
  <c r="I12" i="6"/>
  <c r="I11" i="6"/>
  <c r="I16" i="6"/>
  <c r="I10" i="6"/>
  <c r="I14" i="6"/>
  <c r="I7" i="6"/>
  <c r="C17" i="6"/>
  <c r="C27" i="6"/>
  <c r="W17" i="6"/>
  <c r="I66" i="2"/>
  <c r="L131" i="3" s="1"/>
  <c r="N131" i="3" s="1"/>
  <c r="I46" i="2"/>
  <c r="I25" i="2"/>
  <c r="F24" i="1"/>
  <c r="C53" i="1" s="1"/>
  <c r="M24" i="1"/>
  <c r="J53" i="1" s="1"/>
  <c r="F25" i="1"/>
  <c r="F17" i="1"/>
  <c r="C50" i="1" s="1"/>
  <c r="M17" i="1"/>
  <c r="J50" i="1" s="1"/>
  <c r="F18" i="1"/>
  <c r="M18" i="1"/>
  <c r="F19" i="1"/>
  <c r="M19" i="1"/>
  <c r="F34" i="1"/>
  <c r="M34" i="1"/>
  <c r="F35" i="1"/>
  <c r="M35" i="1"/>
  <c r="F36" i="1"/>
  <c r="M36" i="1"/>
  <c r="L78" i="3" l="1"/>
  <c r="N78" i="3" s="1"/>
  <c r="L92" i="3"/>
  <c r="N92" i="3" s="1"/>
  <c r="L60" i="3"/>
  <c r="N60" i="3" s="1"/>
  <c r="L54" i="3"/>
  <c r="N54" i="3" s="1"/>
  <c r="L86" i="3"/>
  <c r="N86" i="3" s="1"/>
  <c r="L55" i="3"/>
  <c r="N55" i="3" s="1"/>
  <c r="L87" i="3"/>
  <c r="N87" i="3" s="1"/>
  <c r="L56" i="3"/>
  <c r="N56" i="3" s="1"/>
  <c r="L58" i="3"/>
  <c r="N58" i="3" s="1"/>
  <c r="L91" i="3"/>
  <c r="N91" i="3" s="1"/>
  <c r="L33" i="3"/>
  <c r="N33" i="3" s="1"/>
  <c r="L47" i="3"/>
  <c r="N47" i="3" s="1"/>
  <c r="C54" i="1"/>
  <c r="J56" i="1"/>
  <c r="J51" i="1"/>
  <c r="C56" i="1"/>
  <c r="C51" i="1"/>
  <c r="X30" i="6"/>
  <c r="D17" i="6"/>
  <c r="D27" i="6"/>
  <c r="X17" i="6"/>
  <c r="F20" i="1"/>
  <c r="N89" i="4"/>
  <c r="N82" i="4"/>
  <c r="J55" i="1"/>
  <c r="M23" i="1"/>
  <c r="M16" i="1"/>
  <c r="J49" i="1" s="1"/>
  <c r="F23" i="1"/>
  <c r="F28" i="1" s="1"/>
  <c r="M14" i="1"/>
  <c r="C84" i="4"/>
  <c r="C89" i="4" s="1"/>
  <c r="C78" i="4"/>
  <c r="C82" i="4" s="1"/>
  <c r="C70" i="4"/>
  <c r="C71" i="4"/>
  <c r="C69" i="4"/>
  <c r="N24" i="4"/>
  <c r="N30" i="4" s="1"/>
  <c r="N17" i="4"/>
  <c r="N15" i="4"/>
  <c r="C24" i="4"/>
  <c r="C30" i="4" s="1"/>
  <c r="C17" i="4"/>
  <c r="N19" i="4" l="1"/>
  <c r="N22" i="4" s="1"/>
  <c r="N31" i="4" s="1"/>
  <c r="N37" i="4" s="1"/>
  <c r="M25" i="1"/>
  <c r="J54" i="1" s="1"/>
  <c r="J52" i="1"/>
  <c r="C19" i="4"/>
  <c r="C22" i="4" s="1"/>
  <c r="C52" i="1"/>
  <c r="E17" i="6"/>
  <c r="Y30" i="6"/>
  <c r="F17" i="6"/>
  <c r="E27" i="6"/>
  <c r="Y17" i="6"/>
  <c r="F37" i="1"/>
  <c r="M20" i="1"/>
  <c r="M37" i="1"/>
  <c r="N76" i="4"/>
  <c r="N90" i="4" s="1"/>
  <c r="N96" i="4" s="1"/>
  <c r="C76" i="4"/>
  <c r="C90" i="4" s="1"/>
  <c r="O94" i="4"/>
  <c r="O67" i="4"/>
  <c r="O35" i="4"/>
  <c r="O9" i="4"/>
  <c r="D94" i="4"/>
  <c r="D104" i="4" s="1"/>
  <c r="D67" i="4"/>
  <c r="D35" i="4"/>
  <c r="D45" i="4" s="1"/>
  <c r="D9" i="4"/>
  <c r="M28" i="1" l="1"/>
  <c r="D20" i="4"/>
  <c r="D26" i="4"/>
  <c r="O20" i="4"/>
  <c r="O26" i="4"/>
  <c r="O98" i="4"/>
  <c r="O101" i="4"/>
  <c r="O104" i="4"/>
  <c r="P35" i="4"/>
  <c r="O39" i="4"/>
  <c r="O42" i="4"/>
  <c r="O45" i="4"/>
  <c r="AA30" i="6"/>
  <c r="Z30" i="6"/>
  <c r="F27" i="6"/>
  <c r="G17" i="6"/>
  <c r="AB30" i="6"/>
  <c r="O85" i="4"/>
  <c r="O86" i="4"/>
  <c r="O87" i="4"/>
  <c r="O71" i="4"/>
  <c r="O78" i="4"/>
  <c r="O74" i="4"/>
  <c r="O88" i="4"/>
  <c r="O79" i="4"/>
  <c r="O70" i="4"/>
  <c r="O80" i="4"/>
  <c r="O81" i="4"/>
  <c r="O69" i="4"/>
  <c r="O73" i="4"/>
  <c r="O84" i="4"/>
  <c r="O72" i="4"/>
  <c r="O75" i="4"/>
  <c r="G27" i="6"/>
  <c r="D98" i="4"/>
  <c r="D101" i="4"/>
  <c r="D72" i="4"/>
  <c r="D79" i="4"/>
  <c r="D86" i="4"/>
  <c r="D73" i="4"/>
  <c r="D80" i="4"/>
  <c r="D87" i="4"/>
  <c r="D74" i="4"/>
  <c r="D81" i="4"/>
  <c r="D88" i="4"/>
  <c r="D75" i="4"/>
  <c r="D85" i="4"/>
  <c r="M40" i="1"/>
  <c r="D13" i="4"/>
  <c r="D21" i="4"/>
  <c r="D29" i="4"/>
  <c r="D25" i="4"/>
  <c r="D14" i="4"/>
  <c r="D18" i="4"/>
  <c r="D27" i="4"/>
  <c r="D12" i="4"/>
  <c r="D19" i="4"/>
  <c r="D28" i="4"/>
  <c r="O18" i="4"/>
  <c r="O12" i="4"/>
  <c r="O19" i="4"/>
  <c r="O28" i="4"/>
  <c r="O13" i="4"/>
  <c r="O21" i="4"/>
  <c r="O29" i="4"/>
  <c r="O27" i="4"/>
  <c r="O14" i="4"/>
  <c r="O25" i="4"/>
  <c r="D42" i="4"/>
  <c r="D39" i="4"/>
  <c r="P67" i="4"/>
  <c r="E9" i="4"/>
  <c r="E26" i="4" s="1"/>
  <c r="D24" i="4"/>
  <c r="D17" i="4"/>
  <c r="E67" i="4"/>
  <c r="D78" i="4"/>
  <c r="D70" i="4"/>
  <c r="D84" i="4"/>
  <c r="D69" i="4"/>
  <c r="D71" i="4"/>
  <c r="O17" i="4"/>
  <c r="O24" i="4"/>
  <c r="O11" i="4"/>
  <c r="P9" i="4"/>
  <c r="E94" i="4"/>
  <c r="E104" i="4" s="1"/>
  <c r="P94" i="4"/>
  <c r="E35" i="4"/>
  <c r="E45" i="4" s="1"/>
  <c r="N26" i="1" l="1"/>
  <c r="N32" i="1"/>
  <c r="N33" i="1"/>
  <c r="N31" i="1"/>
  <c r="N27" i="1"/>
  <c r="P20" i="4"/>
  <c r="P26" i="4"/>
  <c r="F9" i="4"/>
  <c r="E20" i="4"/>
  <c r="Q35" i="4"/>
  <c r="P39" i="4"/>
  <c r="P42" i="4"/>
  <c r="P45" i="4"/>
  <c r="P98" i="4"/>
  <c r="P101" i="4"/>
  <c r="P104" i="4"/>
  <c r="AC30" i="6"/>
  <c r="AA17" i="6"/>
  <c r="H17" i="6"/>
  <c r="I17" i="6"/>
  <c r="F67" i="4"/>
  <c r="F86" i="4" s="1"/>
  <c r="E73" i="4"/>
  <c r="Q67" i="4"/>
  <c r="P86" i="4"/>
  <c r="P72" i="4"/>
  <c r="P87" i="4"/>
  <c r="P78" i="4"/>
  <c r="P75" i="4"/>
  <c r="P88" i="4"/>
  <c r="P79" i="4"/>
  <c r="P71" i="4"/>
  <c r="P80" i="4"/>
  <c r="P74" i="4"/>
  <c r="P81" i="4"/>
  <c r="P73" i="4"/>
  <c r="P70" i="4"/>
  <c r="P84" i="4"/>
  <c r="P85" i="4"/>
  <c r="P69" i="4"/>
  <c r="H27" i="6"/>
  <c r="AB17" i="6"/>
  <c r="D89" i="4"/>
  <c r="O89" i="4"/>
  <c r="F79" i="4"/>
  <c r="E98" i="4"/>
  <c r="E101" i="4"/>
  <c r="E72" i="4"/>
  <c r="E79" i="4"/>
  <c r="E74" i="4"/>
  <c r="E81" i="4"/>
  <c r="E88" i="4"/>
  <c r="E86" i="4"/>
  <c r="E87" i="4"/>
  <c r="E75" i="4"/>
  <c r="E85" i="4"/>
  <c r="E80" i="4"/>
  <c r="O76" i="4"/>
  <c r="D76" i="4"/>
  <c r="E13" i="4"/>
  <c r="E21" i="4"/>
  <c r="E29" i="4"/>
  <c r="E28" i="4"/>
  <c r="E14" i="4"/>
  <c r="E25" i="4"/>
  <c r="E27" i="4"/>
  <c r="E12" i="4"/>
  <c r="E19" i="4"/>
  <c r="E18" i="4"/>
  <c r="O15" i="4"/>
  <c r="E42" i="4"/>
  <c r="E39" i="4"/>
  <c r="O30" i="4"/>
  <c r="D30" i="4"/>
  <c r="F12" i="4"/>
  <c r="F19" i="4"/>
  <c r="F28" i="4"/>
  <c r="F29" i="4"/>
  <c r="F13" i="4"/>
  <c r="F21" i="4"/>
  <c r="F25" i="4"/>
  <c r="F14" i="4"/>
  <c r="F18" i="4"/>
  <c r="F27" i="4"/>
  <c r="P18" i="4"/>
  <c r="P27" i="4"/>
  <c r="P28" i="4"/>
  <c r="P12" i="4"/>
  <c r="P19" i="4"/>
  <c r="P21" i="4"/>
  <c r="P29" i="4"/>
  <c r="P13" i="4"/>
  <c r="P14" i="4"/>
  <c r="P25" i="4"/>
  <c r="P17" i="4"/>
  <c r="P24" i="4"/>
  <c r="P11" i="4"/>
  <c r="E11" i="4"/>
  <c r="E17" i="4"/>
  <c r="E24" i="4"/>
  <c r="F84" i="4"/>
  <c r="F71" i="4"/>
  <c r="F70" i="4"/>
  <c r="F69" i="4"/>
  <c r="F78" i="4"/>
  <c r="F11" i="4"/>
  <c r="F17" i="4"/>
  <c r="F24" i="4"/>
  <c r="E78" i="4"/>
  <c r="E71" i="4"/>
  <c r="E84" i="4"/>
  <c r="E70" i="4"/>
  <c r="E69" i="4"/>
  <c r="F94" i="4"/>
  <c r="F104" i="4" s="1"/>
  <c r="R67" i="4"/>
  <c r="Q94" i="4"/>
  <c r="Q9" i="4"/>
  <c r="Q26" i="4" s="1"/>
  <c r="G67" i="4"/>
  <c r="G9" i="4"/>
  <c r="F35" i="4"/>
  <c r="F45" i="4" s="1"/>
  <c r="D82" i="4"/>
  <c r="D22" i="4"/>
  <c r="G20" i="4" l="1"/>
  <c r="G26" i="4"/>
  <c r="F20" i="4"/>
  <c r="F26" i="4"/>
  <c r="F30" i="4" s="1"/>
  <c r="Q28" i="4"/>
  <c r="Q20" i="4"/>
  <c r="F72" i="4"/>
  <c r="Q104" i="4"/>
  <c r="Q98" i="4"/>
  <c r="Q101" i="4"/>
  <c r="F85" i="4"/>
  <c r="R35" i="4"/>
  <c r="Q39" i="4"/>
  <c r="Q42" i="4"/>
  <c r="Q45" i="4"/>
  <c r="F75" i="4"/>
  <c r="F88" i="4"/>
  <c r="F81" i="4"/>
  <c r="F74" i="4"/>
  <c r="F87" i="4"/>
  <c r="F80" i="4"/>
  <c r="F73" i="4"/>
  <c r="Q87" i="4"/>
  <c r="Q88" i="4"/>
  <c r="Q79" i="4"/>
  <c r="Q72" i="4"/>
  <c r="Q80" i="4"/>
  <c r="Q75" i="4"/>
  <c r="Q81" i="4"/>
  <c r="Q71" i="4"/>
  <c r="Q84" i="4"/>
  <c r="Q74" i="4"/>
  <c r="Q85" i="4"/>
  <c r="Q70" i="4"/>
  <c r="Q86" i="4"/>
  <c r="Q73" i="4"/>
  <c r="Q69" i="4"/>
  <c r="Q78" i="4"/>
  <c r="R88" i="4"/>
  <c r="R79" i="4"/>
  <c r="R80" i="4"/>
  <c r="R81" i="4"/>
  <c r="R72" i="4"/>
  <c r="R84" i="4"/>
  <c r="R75" i="4"/>
  <c r="R85" i="4"/>
  <c r="R71" i="4"/>
  <c r="R86" i="4"/>
  <c r="R74" i="4"/>
  <c r="R78" i="4"/>
  <c r="R73" i="4"/>
  <c r="R69" i="4"/>
  <c r="R87" i="4"/>
  <c r="R70" i="4"/>
  <c r="I27" i="6"/>
  <c r="AC17" i="6"/>
  <c r="P89" i="4"/>
  <c r="E89" i="4"/>
  <c r="G75" i="4"/>
  <c r="G72" i="4"/>
  <c r="G73" i="4"/>
  <c r="G80" i="4"/>
  <c r="G87" i="4"/>
  <c r="G86" i="4"/>
  <c r="G74" i="4"/>
  <c r="G81" i="4"/>
  <c r="G88" i="4"/>
  <c r="G85" i="4"/>
  <c r="G79" i="4"/>
  <c r="E30" i="4"/>
  <c r="F98" i="4"/>
  <c r="F101" i="4"/>
  <c r="E22" i="4"/>
  <c r="P76" i="4"/>
  <c r="E76" i="4"/>
  <c r="F15" i="4"/>
  <c r="G12" i="4"/>
  <c r="G19" i="4"/>
  <c r="G28" i="4"/>
  <c r="G18" i="4"/>
  <c r="G27" i="4"/>
  <c r="G13" i="4"/>
  <c r="G21" i="4"/>
  <c r="G29" i="4"/>
  <c r="G25" i="4"/>
  <c r="G14" i="4"/>
  <c r="E15" i="4"/>
  <c r="P30" i="4"/>
  <c r="F39" i="4"/>
  <c r="F42" i="4"/>
  <c r="Q18" i="4"/>
  <c r="Q27" i="4"/>
  <c r="Q12" i="4"/>
  <c r="Q19" i="4"/>
  <c r="Q21" i="4"/>
  <c r="Q14" i="4"/>
  <c r="Q25" i="4"/>
  <c r="Q29" i="4"/>
  <c r="Q13" i="4"/>
  <c r="P15" i="4"/>
  <c r="G17" i="4"/>
  <c r="G24" i="4"/>
  <c r="E82" i="4"/>
  <c r="G84" i="4"/>
  <c r="G71" i="4"/>
  <c r="G70" i="4"/>
  <c r="G78" i="4"/>
  <c r="G69" i="4"/>
  <c r="P82" i="4"/>
  <c r="Q24" i="4"/>
  <c r="Q11" i="4"/>
  <c r="Q17" i="4"/>
  <c r="H67" i="4"/>
  <c r="I67" i="4" s="1"/>
  <c r="J67" i="4" s="1"/>
  <c r="P22" i="4"/>
  <c r="F22" i="4"/>
  <c r="R9" i="4"/>
  <c r="R94" i="4"/>
  <c r="G94" i="4"/>
  <c r="G104" i="4" s="1"/>
  <c r="S67" i="4"/>
  <c r="T67" i="4" s="1"/>
  <c r="U67" i="4" s="1"/>
  <c r="H9" i="4"/>
  <c r="H26" i="4" s="1"/>
  <c r="G35" i="4"/>
  <c r="G45" i="4" s="1"/>
  <c r="D90" i="4"/>
  <c r="R20" i="4" l="1"/>
  <c r="R26" i="4"/>
  <c r="I9" i="4"/>
  <c r="I26" i="4" s="1"/>
  <c r="H20" i="4"/>
  <c r="R104" i="4"/>
  <c r="R98" i="4"/>
  <c r="R101" i="4"/>
  <c r="R39" i="4"/>
  <c r="R42" i="4"/>
  <c r="R45" i="4"/>
  <c r="S35" i="4"/>
  <c r="F82" i="4"/>
  <c r="I88" i="4"/>
  <c r="I74" i="4"/>
  <c r="I80" i="4"/>
  <c r="I71" i="4"/>
  <c r="T86" i="4"/>
  <c r="T81" i="4"/>
  <c r="I85" i="4"/>
  <c r="I86" i="4"/>
  <c r="T88" i="4"/>
  <c r="T78" i="4"/>
  <c r="I69" i="4"/>
  <c r="I87" i="4"/>
  <c r="T72" i="4"/>
  <c r="T79" i="4"/>
  <c r="I78" i="4"/>
  <c r="I79" i="4"/>
  <c r="T80" i="4"/>
  <c r="T69" i="4"/>
  <c r="T70" i="4"/>
  <c r="I73" i="4"/>
  <c r="I75" i="4"/>
  <c r="T87" i="4"/>
  <c r="T74" i="4"/>
  <c r="T85" i="4"/>
  <c r="I81" i="4"/>
  <c r="I84" i="4"/>
  <c r="T71" i="4"/>
  <c r="T75" i="4"/>
  <c r="I72" i="4"/>
  <c r="I70" i="4"/>
  <c r="T73" i="4"/>
  <c r="T84" i="4"/>
  <c r="I19" i="4"/>
  <c r="I28" i="4"/>
  <c r="I25" i="4"/>
  <c r="I29" i="4"/>
  <c r="I27" i="4"/>
  <c r="I12" i="4"/>
  <c r="I11" i="4"/>
  <c r="I17" i="4"/>
  <c r="I24" i="4"/>
  <c r="I18" i="4"/>
  <c r="I13" i="4"/>
  <c r="I14" i="4"/>
  <c r="I21" i="4"/>
  <c r="F76" i="4"/>
  <c r="F89" i="4"/>
  <c r="Q89" i="4"/>
  <c r="Q76" i="4"/>
  <c r="Q82" i="4"/>
  <c r="S88" i="4"/>
  <c r="S80" i="4"/>
  <c r="S81" i="4"/>
  <c r="S69" i="4"/>
  <c r="S84" i="4"/>
  <c r="S85" i="4"/>
  <c r="S72" i="4"/>
  <c r="S86" i="4"/>
  <c r="S75" i="4"/>
  <c r="S87" i="4"/>
  <c r="S71" i="4"/>
  <c r="S79" i="4"/>
  <c r="S70" i="4"/>
  <c r="S73" i="4"/>
  <c r="S78" i="4"/>
  <c r="S74" i="4"/>
  <c r="P31" i="4"/>
  <c r="P46" i="4" s="1"/>
  <c r="H74" i="4"/>
  <c r="H81" i="4"/>
  <c r="H88" i="4"/>
  <c r="H75" i="4"/>
  <c r="H85" i="4"/>
  <c r="H72" i="4"/>
  <c r="H79" i="4"/>
  <c r="H86" i="4"/>
  <c r="H73" i="4"/>
  <c r="H80" i="4"/>
  <c r="H87" i="4"/>
  <c r="G89" i="4"/>
  <c r="R89" i="4"/>
  <c r="G98" i="4"/>
  <c r="G101" i="4"/>
  <c r="E31" i="4"/>
  <c r="E40" i="4" s="1"/>
  <c r="R76" i="4"/>
  <c r="G76" i="4"/>
  <c r="G30" i="4"/>
  <c r="E90" i="4"/>
  <c r="E102" i="4" s="1"/>
  <c r="Q15" i="4"/>
  <c r="R14" i="4"/>
  <c r="R25" i="4"/>
  <c r="R27" i="4"/>
  <c r="R18" i="4"/>
  <c r="R19" i="4"/>
  <c r="R28" i="4"/>
  <c r="R12" i="4"/>
  <c r="R13" i="4"/>
  <c r="R21" i="4"/>
  <c r="R29" i="4"/>
  <c r="G39" i="4"/>
  <c r="G42" i="4"/>
  <c r="Q30" i="4"/>
  <c r="H18" i="4"/>
  <c r="H27" i="4"/>
  <c r="H21" i="4"/>
  <c r="H12" i="4"/>
  <c r="H19" i="4"/>
  <c r="H28" i="4"/>
  <c r="H29" i="4"/>
  <c r="H13" i="4"/>
  <c r="H14" i="4"/>
  <c r="H25" i="4"/>
  <c r="R24" i="4"/>
  <c r="R11" i="4"/>
  <c r="R17" i="4"/>
  <c r="H11" i="4"/>
  <c r="H17" i="4"/>
  <c r="H24" i="4"/>
  <c r="H71" i="4"/>
  <c r="H78" i="4"/>
  <c r="H70" i="4"/>
  <c r="H69" i="4"/>
  <c r="H84" i="4"/>
  <c r="P90" i="4"/>
  <c r="D99" i="4"/>
  <c r="D102" i="4"/>
  <c r="D105" i="4"/>
  <c r="S9" i="4"/>
  <c r="G82" i="4"/>
  <c r="F31" i="4"/>
  <c r="R82" i="4"/>
  <c r="H94" i="4"/>
  <c r="S94" i="4"/>
  <c r="Q22" i="4"/>
  <c r="H35" i="4"/>
  <c r="G22" i="4"/>
  <c r="S20" i="4" l="1"/>
  <c r="S26" i="4"/>
  <c r="J9" i="4"/>
  <c r="I20" i="4"/>
  <c r="I22" i="4" s="1"/>
  <c r="T35" i="4"/>
  <c r="S39" i="4"/>
  <c r="S42" i="4"/>
  <c r="S45" i="4"/>
  <c r="I35" i="4"/>
  <c r="H45" i="4"/>
  <c r="I94" i="4"/>
  <c r="I98" i="4" s="1"/>
  <c r="H104" i="4"/>
  <c r="T94" i="4"/>
  <c r="S104" i="4"/>
  <c r="S98" i="4"/>
  <c r="S101" i="4"/>
  <c r="P40" i="4"/>
  <c r="Q90" i="4"/>
  <c r="Q102" i="4" s="1"/>
  <c r="I101" i="4"/>
  <c r="F90" i="4"/>
  <c r="F99" i="4" s="1"/>
  <c r="T89" i="4"/>
  <c r="I89" i="4"/>
  <c r="T76" i="4"/>
  <c r="T82" i="4"/>
  <c r="I15" i="4"/>
  <c r="I30" i="4"/>
  <c r="I82" i="4"/>
  <c r="P43" i="4"/>
  <c r="T9" i="4"/>
  <c r="I76" i="4"/>
  <c r="E43" i="4"/>
  <c r="E46" i="4"/>
  <c r="U81" i="4"/>
  <c r="U70" i="4"/>
  <c r="U84" i="4"/>
  <c r="U73" i="4"/>
  <c r="U85" i="4"/>
  <c r="U69" i="4"/>
  <c r="U86" i="4"/>
  <c r="U72" i="4"/>
  <c r="U87" i="4"/>
  <c r="U78" i="4"/>
  <c r="U75" i="4"/>
  <c r="U88" i="4"/>
  <c r="U79" i="4"/>
  <c r="U71" i="4"/>
  <c r="U80" i="4"/>
  <c r="U74" i="4"/>
  <c r="E105" i="4"/>
  <c r="R22" i="4"/>
  <c r="J74" i="4"/>
  <c r="J72" i="4"/>
  <c r="J79" i="4"/>
  <c r="J86" i="4"/>
  <c r="J75" i="4"/>
  <c r="J81" i="4"/>
  <c r="J85" i="4"/>
  <c r="J73" i="4"/>
  <c r="J80" i="4"/>
  <c r="J87" i="4"/>
  <c r="J88" i="4"/>
  <c r="S89" i="4"/>
  <c r="H98" i="4"/>
  <c r="H101" i="4"/>
  <c r="H89" i="4"/>
  <c r="S76" i="4"/>
  <c r="E99" i="4"/>
  <c r="H76" i="4"/>
  <c r="H39" i="4"/>
  <c r="H42" i="4"/>
  <c r="H15" i="4"/>
  <c r="R15" i="4"/>
  <c r="H30" i="4"/>
  <c r="R30" i="4"/>
  <c r="S14" i="4"/>
  <c r="S25" i="4"/>
  <c r="S18" i="4"/>
  <c r="S27" i="4"/>
  <c r="S13" i="4"/>
  <c r="S21" i="4"/>
  <c r="S29" i="4"/>
  <c r="S28" i="4"/>
  <c r="S12" i="4"/>
  <c r="S19" i="4"/>
  <c r="J18" i="4"/>
  <c r="J27" i="4"/>
  <c r="J25" i="4"/>
  <c r="J12" i="4"/>
  <c r="J19" i="4"/>
  <c r="J28" i="4"/>
  <c r="J29" i="4"/>
  <c r="J14" i="4"/>
  <c r="J13" i="4"/>
  <c r="J21" i="4"/>
  <c r="J69" i="4"/>
  <c r="J78" i="4"/>
  <c r="J71" i="4"/>
  <c r="J84" i="4"/>
  <c r="J70" i="4"/>
  <c r="P99" i="4"/>
  <c r="P102" i="4"/>
  <c r="P105" i="4"/>
  <c r="S24" i="4"/>
  <c r="S11" i="4"/>
  <c r="S17" i="4"/>
  <c r="J17" i="4"/>
  <c r="J24" i="4"/>
  <c r="J11" i="4"/>
  <c r="F40" i="4"/>
  <c r="F46" i="4"/>
  <c r="F43" i="4"/>
  <c r="G90" i="4"/>
  <c r="H82" i="4"/>
  <c r="Q31" i="4"/>
  <c r="R90" i="4"/>
  <c r="S82" i="4"/>
  <c r="H22" i="4"/>
  <c r="Q105" i="4" l="1"/>
  <c r="Q99" i="4"/>
  <c r="T20" i="4"/>
  <c r="T26" i="4"/>
  <c r="J20" i="4"/>
  <c r="J26" i="4"/>
  <c r="J30" i="4" s="1"/>
  <c r="F102" i="4"/>
  <c r="J94" i="4"/>
  <c r="J104" i="4" s="1"/>
  <c r="I104" i="4"/>
  <c r="J35" i="4"/>
  <c r="J45" i="4" s="1"/>
  <c r="I45" i="4"/>
  <c r="I39" i="4"/>
  <c r="I42" i="4"/>
  <c r="U94" i="4"/>
  <c r="T104" i="4"/>
  <c r="T98" i="4"/>
  <c r="T101" i="4"/>
  <c r="U35" i="4"/>
  <c r="T39" i="4"/>
  <c r="T42" i="4"/>
  <c r="T45" i="4"/>
  <c r="F105" i="4"/>
  <c r="I31" i="4"/>
  <c r="T90" i="4"/>
  <c r="T96" i="4" s="1"/>
  <c r="I90" i="4"/>
  <c r="I102" i="4" s="1"/>
  <c r="U9" i="4"/>
  <c r="U26" i="4" s="1"/>
  <c r="T18" i="4"/>
  <c r="T17" i="4"/>
  <c r="T24" i="4"/>
  <c r="T25" i="4"/>
  <c r="T28" i="4"/>
  <c r="T19" i="4"/>
  <c r="T27" i="4"/>
  <c r="T11" i="4"/>
  <c r="T21" i="4"/>
  <c r="T13" i="4"/>
  <c r="T14" i="4"/>
  <c r="T12" i="4"/>
  <c r="T29" i="4"/>
  <c r="J89" i="4"/>
  <c r="R31" i="4"/>
  <c r="R40" i="4" s="1"/>
  <c r="U89" i="4"/>
  <c r="S30" i="4"/>
  <c r="J98" i="4"/>
  <c r="U76" i="4"/>
  <c r="J76" i="4"/>
  <c r="S90" i="4"/>
  <c r="S99" i="4" s="1"/>
  <c r="H90" i="4"/>
  <c r="H99" i="4" s="1"/>
  <c r="J15" i="4"/>
  <c r="S15" i="4"/>
  <c r="J39" i="4"/>
  <c r="J42" i="4"/>
  <c r="U13" i="4"/>
  <c r="U21" i="4"/>
  <c r="U29" i="4"/>
  <c r="U14" i="4"/>
  <c r="U12" i="4"/>
  <c r="U19" i="4"/>
  <c r="J82" i="4"/>
  <c r="S22" i="4"/>
  <c r="U11" i="4"/>
  <c r="G99" i="4"/>
  <c r="G105" i="4"/>
  <c r="G102" i="4"/>
  <c r="Q46" i="4"/>
  <c r="Q40" i="4"/>
  <c r="Q43" i="4"/>
  <c r="R99" i="4"/>
  <c r="R102" i="4"/>
  <c r="R105" i="4"/>
  <c r="H31" i="4"/>
  <c r="U82" i="4"/>
  <c r="J22" i="4"/>
  <c r="J101" i="4" l="1"/>
  <c r="U25" i="4"/>
  <c r="U20" i="4"/>
  <c r="U24" i="4"/>
  <c r="I40" i="4"/>
  <c r="U104" i="4"/>
  <c r="U98" i="4"/>
  <c r="U101" i="4"/>
  <c r="U39" i="4"/>
  <c r="U42" i="4"/>
  <c r="U45" i="4"/>
  <c r="I43" i="4"/>
  <c r="I105" i="4"/>
  <c r="T102" i="4"/>
  <c r="U17" i="4"/>
  <c r="U15" i="4"/>
  <c r="U28" i="4"/>
  <c r="U18" i="4"/>
  <c r="U27" i="4"/>
  <c r="I46" i="4"/>
  <c r="T99" i="4"/>
  <c r="R43" i="4"/>
  <c r="T105" i="4"/>
  <c r="I99" i="4"/>
  <c r="I96" i="4"/>
  <c r="T30" i="4"/>
  <c r="T22" i="4"/>
  <c r="T15" i="4"/>
  <c r="J90" i="4"/>
  <c r="J105" i="4" s="1"/>
  <c r="R46" i="4"/>
  <c r="H102" i="4"/>
  <c r="H105" i="4"/>
  <c r="S31" i="4"/>
  <c r="S43" i="4" s="1"/>
  <c r="S102" i="4"/>
  <c r="S105" i="4"/>
  <c r="H43" i="4"/>
  <c r="H46" i="4"/>
  <c r="H40" i="4"/>
  <c r="J31" i="4"/>
  <c r="U90" i="4"/>
  <c r="D12" i="2"/>
  <c r="D13" i="2" s="1"/>
  <c r="D14" i="2" s="1"/>
  <c r="D15" i="2" s="1"/>
  <c r="D16" i="2" s="1"/>
  <c r="D17" i="2" s="1"/>
  <c r="D18" i="2" s="1"/>
  <c r="D19" i="2" s="1"/>
  <c r="D20" i="2" s="1"/>
  <c r="D21" i="2" s="1"/>
  <c r="E14" i="1"/>
  <c r="L32" i="1" l="1"/>
  <c r="E32" i="1"/>
  <c r="E27" i="1"/>
  <c r="L26" i="1"/>
  <c r="L31" i="1"/>
  <c r="L27" i="1"/>
  <c r="E33" i="1"/>
  <c r="L33" i="1"/>
  <c r="E26" i="1"/>
  <c r="E31" i="1"/>
  <c r="U22" i="4"/>
  <c r="U30" i="4"/>
  <c r="L16" i="1"/>
  <c r="E16" i="1"/>
  <c r="L17" i="1"/>
  <c r="E17" i="1"/>
  <c r="E25" i="1"/>
  <c r="L23" i="1"/>
  <c r="E23" i="1"/>
  <c r="L34" i="1"/>
  <c r="E34" i="1"/>
  <c r="E19" i="1"/>
  <c r="L35" i="1"/>
  <c r="L18" i="1"/>
  <c r="E35" i="1"/>
  <c r="E18" i="1"/>
  <c r="E36" i="1"/>
  <c r="L25" i="1"/>
  <c r="L36" i="1"/>
  <c r="L24" i="1"/>
  <c r="L19" i="1"/>
  <c r="E24" i="1"/>
  <c r="F13" i="7"/>
  <c r="T31" i="4"/>
  <c r="T46" i="4" s="1"/>
  <c r="J99" i="4"/>
  <c r="J102" i="4"/>
  <c r="S40" i="4"/>
  <c r="S46" i="4"/>
  <c r="J46" i="4"/>
  <c r="J43" i="4"/>
  <c r="J40" i="4"/>
  <c r="U99" i="4"/>
  <c r="U102" i="4"/>
  <c r="U105" i="4"/>
  <c r="U31" i="4" l="1"/>
  <c r="U40" i="4" s="1"/>
  <c r="C28" i="7"/>
  <c r="F21" i="7"/>
  <c r="T40" i="4"/>
  <c r="T43" i="4"/>
  <c r="O82" i="4"/>
  <c r="G13" i="7" l="1"/>
  <c r="U43" i="4"/>
  <c r="U46" i="4"/>
  <c r="G21" i="7"/>
  <c r="G18" i="7"/>
  <c r="G17" i="7"/>
  <c r="G14" i="7"/>
  <c r="G16" i="7"/>
  <c r="G19" i="7"/>
  <c r="G15" i="7"/>
  <c r="G20" i="7"/>
  <c r="O90" i="4"/>
  <c r="C99" i="4" l="1"/>
  <c r="I100" i="4" s="1"/>
  <c r="C102" i="4"/>
  <c r="I103" i="4" s="1"/>
  <c r="C105" i="4"/>
  <c r="I106" i="4" s="1"/>
  <c r="O102" i="4"/>
  <c r="O105" i="4"/>
  <c r="N99" i="4"/>
  <c r="T100" i="4" s="1"/>
  <c r="N105" i="4"/>
  <c r="T106" i="4" s="1"/>
  <c r="N102" i="4"/>
  <c r="T103" i="4" s="1"/>
  <c r="E96" i="4"/>
  <c r="F96" i="4"/>
  <c r="G96" i="4"/>
  <c r="H96" i="4"/>
  <c r="P96" i="4"/>
  <c r="Q96" i="4"/>
  <c r="R96" i="4"/>
  <c r="S96" i="4"/>
  <c r="U96" i="4"/>
  <c r="D96" i="4"/>
  <c r="J96" i="4"/>
  <c r="O99" i="4"/>
  <c r="O96" i="4"/>
  <c r="C96" i="4"/>
  <c r="C106" i="4" l="1"/>
  <c r="E106" i="4"/>
  <c r="D106" i="4"/>
  <c r="F106" i="4"/>
  <c r="H106" i="4"/>
  <c r="G106" i="4"/>
  <c r="J106" i="4"/>
  <c r="C100" i="4"/>
  <c r="E100" i="4"/>
  <c r="D100" i="4"/>
  <c r="F100" i="4"/>
  <c r="G100" i="4"/>
  <c r="H100" i="4"/>
  <c r="J100" i="4"/>
  <c r="C103" i="4"/>
  <c r="E103" i="4"/>
  <c r="D103" i="4"/>
  <c r="F103" i="4"/>
  <c r="G103" i="4"/>
  <c r="H103" i="4"/>
  <c r="J103" i="4"/>
  <c r="N103" i="4"/>
  <c r="O103" i="4"/>
  <c r="P103" i="4"/>
  <c r="Q103" i="4"/>
  <c r="R103" i="4"/>
  <c r="S103" i="4"/>
  <c r="U103" i="4"/>
  <c r="U106" i="4"/>
  <c r="N106" i="4"/>
  <c r="R106" i="4"/>
  <c r="Q106" i="4"/>
  <c r="O106" i="4"/>
  <c r="S106" i="4"/>
  <c r="P106" i="4"/>
  <c r="O100" i="4"/>
  <c r="N100" i="4"/>
  <c r="P100" i="4"/>
  <c r="Q100" i="4"/>
  <c r="R100" i="4"/>
  <c r="S100" i="4"/>
  <c r="U100" i="4"/>
  <c r="D11" i="4"/>
  <c r="D15" i="4" s="1"/>
  <c r="D31" i="4" s="1"/>
  <c r="D46" i="4" l="1"/>
  <c r="D43" i="4"/>
  <c r="D40" i="4"/>
  <c r="G11" i="4" l="1"/>
  <c r="G15" i="4" s="1"/>
  <c r="G31" i="4" s="1"/>
  <c r="G46" i="4" s="1"/>
  <c r="C11" i="4"/>
  <c r="C15" i="4" s="1"/>
  <c r="C31" i="4" s="1"/>
  <c r="G40" i="4" l="1"/>
  <c r="G43" i="4"/>
  <c r="C46" i="4"/>
  <c r="C43" i="4"/>
  <c r="C40" i="4"/>
  <c r="L14" i="1"/>
  <c r="C41" i="4" l="1"/>
  <c r="E41" i="4"/>
  <c r="D41" i="4"/>
  <c r="F41" i="4"/>
  <c r="I44" i="4"/>
  <c r="C44" i="4"/>
  <c r="E44" i="4"/>
  <c r="D44" i="4"/>
  <c r="H44" i="4"/>
  <c r="F44" i="4"/>
  <c r="J44" i="4"/>
  <c r="I47" i="4"/>
  <c r="C47" i="4"/>
  <c r="E47" i="4"/>
  <c r="H47" i="4"/>
  <c r="D47" i="4"/>
  <c r="F47" i="4"/>
  <c r="J47" i="4"/>
  <c r="G44" i="4"/>
  <c r="G47" i="4"/>
  <c r="O22" i="4"/>
  <c r="F40" i="1" l="1"/>
  <c r="O31" i="4"/>
  <c r="G26" i="1" l="1"/>
  <c r="G32" i="1"/>
  <c r="G16" i="1"/>
  <c r="G33" i="1"/>
  <c r="G31" i="1"/>
  <c r="G27" i="1"/>
  <c r="G24" i="1"/>
  <c r="G25" i="1"/>
  <c r="N24" i="1"/>
  <c r="N25" i="1"/>
  <c r="N17" i="1"/>
  <c r="N18" i="1"/>
  <c r="N19" i="1"/>
  <c r="G18" i="1"/>
  <c r="G19" i="1"/>
  <c r="G17" i="1"/>
  <c r="G35" i="1"/>
  <c r="G36" i="1"/>
  <c r="G34" i="1"/>
  <c r="N36" i="1"/>
  <c r="N34" i="1"/>
  <c r="N35" i="1"/>
  <c r="O40" i="4"/>
  <c r="O43" i="4"/>
  <c r="O46" i="4"/>
  <c r="N46" i="4"/>
  <c r="T47" i="4" s="1"/>
  <c r="N40" i="4"/>
  <c r="N43" i="4"/>
  <c r="T44" i="4" s="1"/>
  <c r="P37" i="4"/>
  <c r="Q37" i="4"/>
  <c r="O37" i="4"/>
  <c r="N16" i="1"/>
  <c r="N23" i="1"/>
  <c r="G23" i="1"/>
  <c r="N44" i="4" l="1"/>
  <c r="O44" i="4"/>
  <c r="Q44" i="4"/>
  <c r="S44" i="4"/>
  <c r="U44" i="4"/>
  <c r="R44" i="4"/>
  <c r="P44" i="4"/>
  <c r="N41" i="4"/>
  <c r="Q41" i="4"/>
  <c r="O41" i="4"/>
  <c r="P41" i="4"/>
  <c r="N47" i="4"/>
  <c r="P47" i="4"/>
  <c r="Q47" i="4"/>
  <c r="U47" i="4"/>
  <c r="S47" i="4"/>
  <c r="R47" i="4"/>
  <c r="O47" i="4"/>
  <c r="C52" i="7" l="1"/>
  <c r="C64" i="7" s="1"/>
  <c r="F65" i="7" l="1"/>
  <c r="E65" i="7"/>
  <c r="C65" i="7"/>
  <c r="D65" i="7"/>
  <c r="C58" i="7"/>
  <c r="F58" i="7"/>
  <c r="D58" i="7"/>
  <c r="C67" i="7"/>
  <c r="C61" i="7"/>
  <c r="E58" i="7"/>
  <c r="E68" i="7" l="1"/>
  <c r="F68" i="7"/>
  <c r="C68" i="7"/>
  <c r="D68" i="7"/>
  <c r="F62" i="7"/>
  <c r="C62" i="7"/>
  <c r="E62" i="7"/>
  <c r="D62" i="7"/>
  <c r="J52" i="7"/>
  <c r="J61" i="7" s="1"/>
  <c r="J58" i="7" l="1"/>
  <c r="K62" i="7"/>
  <c r="J62" i="7"/>
  <c r="L62" i="7"/>
  <c r="M62" i="7"/>
  <c r="M58" i="7"/>
  <c r="J67" i="7"/>
  <c r="L58" i="7"/>
  <c r="J64" i="7"/>
  <c r="K58" i="7"/>
  <c r="K65" i="7" l="1"/>
  <c r="L65" i="7"/>
  <c r="M65" i="7"/>
  <c r="J65" i="7"/>
  <c r="K68" i="7"/>
  <c r="J68" i="7"/>
  <c r="M68" i="7"/>
  <c r="L68" i="7"/>
</calcChain>
</file>

<file path=xl/sharedStrings.xml><?xml version="1.0" encoding="utf-8"?>
<sst xmlns="http://schemas.openxmlformats.org/spreadsheetml/2006/main" count="1852" uniqueCount="228">
  <si>
    <r>
      <t>CO</t>
    </r>
    <r>
      <rPr>
        <b/>
        <vertAlign val="subscript"/>
        <sz val="36"/>
        <color rgb="FF224F92"/>
        <rFont val="Verdana"/>
        <family val="2"/>
      </rPr>
      <t>2</t>
    </r>
    <r>
      <rPr>
        <b/>
        <sz val="36"/>
        <color rgb="FF224F92"/>
        <rFont val="Verdana"/>
        <family val="2"/>
      </rPr>
      <t>-dashboard</t>
    </r>
  </si>
  <si>
    <t>ORGANISATIE</t>
  </si>
  <si>
    <t>Hoogheemraadschap van Delfland</t>
  </si>
  <si>
    <t>DATA JAREN</t>
  </si>
  <si>
    <t>2019-2022</t>
  </si>
  <si>
    <r>
      <t>SELECTIETOOL M1. OVERZICHT CO</t>
    </r>
    <r>
      <rPr>
        <b/>
        <vertAlign val="subscript"/>
        <sz val="12"/>
        <color theme="0"/>
        <rFont val="Verdana"/>
        <family val="2"/>
      </rPr>
      <t>2</t>
    </r>
    <r>
      <rPr>
        <b/>
        <sz val="12"/>
        <color theme="0"/>
        <rFont val="Verdana"/>
        <family val="2"/>
      </rPr>
      <t>-EMISSIES, GEHELE ORGANISATIE</t>
    </r>
  </si>
  <si>
    <r>
      <t>SELECTIETOOL M2. OVERZICHT CO</t>
    </r>
    <r>
      <rPr>
        <b/>
        <vertAlign val="subscript"/>
        <sz val="12"/>
        <color theme="0"/>
        <rFont val="Verdana"/>
        <family val="2"/>
      </rPr>
      <t>2</t>
    </r>
    <r>
      <rPr>
        <b/>
        <sz val="12"/>
        <color theme="0"/>
        <rFont val="Verdana"/>
        <family val="2"/>
      </rPr>
      <t>-EMISSIES, PER AFDELING</t>
    </r>
  </si>
  <si>
    <t>VARIABELE</t>
  </si>
  <si>
    <t>KEUZE</t>
  </si>
  <si>
    <t>Jaar</t>
  </si>
  <si>
    <t>Organisatie</t>
  </si>
  <si>
    <t>Delfland</t>
  </si>
  <si>
    <t>Type footprint</t>
  </si>
  <si>
    <t>Heel jaar</t>
  </si>
  <si>
    <r>
      <t>TABEL M1. OVERZICHT CO</t>
    </r>
    <r>
      <rPr>
        <b/>
        <vertAlign val="subscript"/>
        <sz val="12"/>
        <color theme="0"/>
        <rFont val="Verdana"/>
        <family val="2"/>
      </rPr>
      <t>2</t>
    </r>
    <r>
      <rPr>
        <b/>
        <sz val="12"/>
        <color theme="0"/>
        <rFont val="Verdana"/>
        <family val="2"/>
      </rPr>
      <t>-EMISSIES, GEHELE ORGANISATIE</t>
    </r>
  </si>
  <si>
    <r>
      <t>TABEL M2. OVERZICHT CO</t>
    </r>
    <r>
      <rPr>
        <b/>
        <vertAlign val="subscript"/>
        <sz val="12"/>
        <color theme="0"/>
        <rFont val="Verdana"/>
        <family val="2"/>
      </rPr>
      <t>2</t>
    </r>
    <r>
      <rPr>
        <b/>
        <sz val="12"/>
        <color theme="0"/>
        <rFont val="Verdana"/>
        <family val="2"/>
      </rPr>
      <t>-EMISSIES</t>
    </r>
  </si>
  <si>
    <t>TYPE EMISSIESTROOM SCOPE 1</t>
  </si>
  <si>
    <t>AANTAL</t>
  </si>
  <si>
    <t>EENHEID</t>
  </si>
  <si>
    <r>
      <t xml:space="preserve">CONVERSIEFACTOR 
</t>
    </r>
    <r>
      <rPr>
        <sz val="9.5"/>
        <rFont val="Verdana"/>
        <family val="2"/>
      </rPr>
      <t>(g CO</t>
    </r>
    <r>
      <rPr>
        <vertAlign val="subscript"/>
        <sz val="9.5"/>
        <rFont val="Verdana"/>
        <family val="2"/>
      </rPr>
      <t>2</t>
    </r>
    <r>
      <rPr>
        <sz val="9.5"/>
        <rFont val="Verdana"/>
        <family val="2"/>
      </rPr>
      <t xml:space="preserve"> per eenheid)</t>
    </r>
  </si>
  <si>
    <r>
      <t xml:space="preserve">UITSTOOT
</t>
    </r>
    <r>
      <rPr>
        <sz val="9.5"/>
        <rFont val="Verdana"/>
        <family val="2"/>
      </rPr>
      <t>(ton CO</t>
    </r>
    <r>
      <rPr>
        <vertAlign val="subscript"/>
        <sz val="9.5"/>
        <rFont val="Verdana"/>
        <family val="2"/>
      </rPr>
      <t>2</t>
    </r>
    <r>
      <rPr>
        <sz val="9.5"/>
        <rFont val="Verdana"/>
        <family val="2"/>
      </rPr>
      <t>)</t>
    </r>
  </si>
  <si>
    <t>Aardgasverbruik</t>
  </si>
  <si>
    <r>
      <t>m</t>
    </r>
    <r>
      <rPr>
        <vertAlign val="superscript"/>
        <sz val="9"/>
        <color theme="1"/>
        <rFont val="Verdana"/>
        <family val="2"/>
      </rPr>
      <t>3</t>
    </r>
  </si>
  <si>
    <t>Brandstofverbruik - diesel</t>
  </si>
  <si>
    <t>liter</t>
  </si>
  <si>
    <t>Brandstofverbruik - benzine</t>
  </si>
  <si>
    <t>Biogas gespuid</t>
  </si>
  <si>
    <t>Totaal scope 1</t>
  </si>
  <si>
    <t>TYPE EMISSIESTROOM SCOPE 2</t>
  </si>
  <si>
    <t>Elektriciteitsverbruik - grijze stroom</t>
  </si>
  <si>
    <t>kWh</t>
  </si>
  <si>
    <t>Elektriciteitsverbruik - groene stroom</t>
  </si>
  <si>
    <t>Elektriciteitsverbruik - wagens</t>
  </si>
  <si>
    <t>Verbruik elektrische auto's - kilometers</t>
  </si>
  <si>
    <t>GJ</t>
  </si>
  <si>
    <t>Warmte</t>
  </si>
  <si>
    <t>Totaal scope 2</t>
  </si>
  <si>
    <t>TYPE EMISSIESTROOM BUSINESS TRAVEL</t>
  </si>
  <si>
    <t>Zakelijk vervoer - gedeclareerde kilometers</t>
  </si>
  <si>
    <t>km</t>
  </si>
  <si>
    <t>Zakelijk vervoer - openbaar vervoer</t>
  </si>
  <si>
    <t>Zakelijk vervoer - treinkilometers</t>
  </si>
  <si>
    <t>Vliegreizen &lt;700 km</t>
  </si>
  <si>
    <t>Vliegreizen 700-2500 km</t>
  </si>
  <si>
    <t>Vliegreizen &gt;2500 km</t>
  </si>
  <si>
    <t>Totaal business travel</t>
  </si>
  <si>
    <t>TOTALE EMISSIES SCOPE 1, 2 EN BUSINESS TRAVEL</t>
  </si>
  <si>
    <t>TYPE EMISSIESTROOM MEMO ITEMS</t>
  </si>
  <si>
    <t>Biogas inzet WKK</t>
  </si>
  <si>
    <t>m3</t>
  </si>
  <si>
    <t>Biogas afgefakkeld</t>
  </si>
  <si>
    <t>Totaal memo items</t>
  </si>
  <si>
    <t>Tabel M1A. Input voor samenvattend figuur CO2-footprint</t>
  </si>
  <si>
    <t>Tabel M2A. Input voor samenvattend figuur CO2-footprint</t>
  </si>
  <si>
    <t>Type</t>
  </si>
  <si>
    <r>
      <rPr>
        <b/>
        <sz val="12"/>
        <color theme="0"/>
        <rFont val="Verdana"/>
        <family val="2"/>
      </rPr>
      <t xml:space="preserve">Emissies
</t>
    </r>
    <r>
      <rPr>
        <sz val="12"/>
        <color theme="0"/>
        <rFont val="Verdana"/>
        <family val="2"/>
      </rPr>
      <t>(ton CO2)</t>
    </r>
  </si>
  <si>
    <t>Brandstofverbruik bedrijfsmiddelen</t>
  </si>
  <si>
    <t>Brandstofverbruik wagenpark</t>
  </si>
  <si>
    <t>Elektriciteitsverbruik vastgoed</t>
  </si>
  <si>
    <t>Elektriciteitsverbruik wagenpark</t>
  </si>
  <si>
    <t>Warmtelevering</t>
  </si>
  <si>
    <t>Zakelijk vervoer</t>
  </si>
  <si>
    <t>Vliegreizen</t>
  </si>
  <si>
    <t>CO2-voortgang</t>
  </si>
  <si>
    <t>SELECTIETOOL V2 - FOOTPRINT PER ORGANISATIE</t>
  </si>
  <si>
    <r>
      <t>TABEL V1. VOORTGANG JAARLIJKSE CO</t>
    </r>
    <r>
      <rPr>
        <b/>
        <vertAlign val="subscript"/>
        <sz val="12"/>
        <color theme="0"/>
        <rFont val="Verdana"/>
        <family val="2"/>
      </rPr>
      <t>2</t>
    </r>
    <r>
      <rPr>
        <b/>
        <sz val="12"/>
        <color theme="0"/>
        <rFont val="Verdana"/>
        <family val="2"/>
      </rPr>
      <t>-EMISSIES, GEHELE ORGANISATIE</t>
    </r>
  </si>
  <si>
    <r>
      <t>TABEL V2. VOORTGANG JAARLIJKSE CO</t>
    </r>
    <r>
      <rPr>
        <b/>
        <vertAlign val="subscript"/>
        <sz val="12"/>
        <color theme="0"/>
        <rFont val="Verdana"/>
        <family val="2"/>
      </rPr>
      <t>2</t>
    </r>
    <r>
      <rPr>
        <b/>
        <sz val="12"/>
        <color theme="0"/>
        <rFont val="Verdana"/>
        <family val="2"/>
      </rPr>
      <t>-EMISSIES, PER ORGANISATIE</t>
    </r>
  </si>
  <si>
    <t>TOTAAL SCOPE 1</t>
  </si>
  <si>
    <t>TOTAAL SCOPE 2</t>
  </si>
  <si>
    <t>TOTAAL BUSINESS TRAVEL</t>
  </si>
  <si>
    <t>TOTALE EMISSIES</t>
  </si>
  <si>
    <t>TABEL V1A. VOORTGANG JAARLIJKSE CO2-EMISSIES, GEHELE ORGANISATIE</t>
  </si>
  <si>
    <t>Tabel V2A. VOORTGANG JAARLIJKSE CO2-EMISSIES, PER ORGANISATIE</t>
  </si>
  <si>
    <t>Absolute voortgang</t>
  </si>
  <si>
    <t>Verwachting doelstelling</t>
  </si>
  <si>
    <t>x1000</t>
  </si>
  <si>
    <t>Uitstoot per kengetal</t>
  </si>
  <si>
    <t>Relatieve voortgang verpompt afvalwater</t>
  </si>
  <si>
    <t>Relatieve voortgang FTE</t>
  </si>
  <si>
    <t>Relatieve voortgang kilometers</t>
  </si>
  <si>
    <r>
      <t>TABEL V3. VOORTGANG HALFJAARLIJKSE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-EMISSIES, GEHELE ORGANISATIE</t>
    </r>
  </si>
  <si>
    <r>
      <t>TABEL V3. VOORTGANG HALFJAARLIJKSE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-EMISSIES, PER ORGANISATIE</t>
    </r>
  </si>
  <si>
    <t>Half jaar</t>
  </si>
  <si>
    <t>Brandstofverbruik bedrijfsmiddelen - diesel</t>
  </si>
  <si>
    <t>Brandstofverbruik wagenpark - diesel</t>
  </si>
  <si>
    <t>Brandstofverbruik wagenpark - benzine</t>
  </si>
  <si>
    <t>Brandstofverbruik wagenpark - HVO</t>
  </si>
  <si>
    <t>Brandstofverbruik wagenpark - LPG</t>
  </si>
  <si>
    <t>Brandstofverbruik wagenpark - CNG</t>
  </si>
  <si>
    <t>Warmtelevering - STEG centrale</t>
  </si>
  <si>
    <t>TABEL V3A. VOORTGANG HALFJAARLIJKSE CO2-EMISSIES, GEHELE ORGANISATIE</t>
  </si>
  <si>
    <t>Tabel V4A. VOORTGANG HALFJAARLIJKSE CO2-EMISSIES, PER ORGANISATIE</t>
  </si>
  <si>
    <t>Relatieve voortgang omzet</t>
  </si>
  <si>
    <t>Omrekening naar GJ</t>
  </si>
  <si>
    <t>SELECTIETOOL E1. OVERZICHT ENERGIEVERBRUIK, GEHELE ORGANISATIE</t>
  </si>
  <si>
    <t>SELECTIETOOL E2 - ENERGIEVERBRUIK PER ORGANISATIE</t>
  </si>
  <si>
    <t xml:space="preserve">TABEL E1. OVERZICHT ENERGIEVERBRUIK, GEHELE ORGANISATIE	</t>
  </si>
  <si>
    <t xml:space="preserve">TABEL E2. OVERZICHT ENERGIEVERBRUIK, PER ORGANISATIE	</t>
  </si>
  <si>
    <t>ENERGIEDRAGER</t>
  </si>
  <si>
    <r>
      <t xml:space="preserve">CONVERSIEFACTOR 
</t>
    </r>
    <r>
      <rPr>
        <sz val="9"/>
        <color theme="1"/>
        <rFont val="Verdana"/>
        <family val="2"/>
      </rPr>
      <t>(g CO</t>
    </r>
    <r>
      <rPr>
        <vertAlign val="subscript"/>
        <sz val="9"/>
        <color theme="1"/>
        <rFont val="Verdana"/>
        <family val="2"/>
      </rPr>
      <t>2</t>
    </r>
    <r>
      <rPr>
        <sz val="9"/>
        <color theme="1"/>
        <rFont val="Verdana"/>
        <family val="2"/>
      </rPr>
      <t xml:space="preserve"> per eenheid)</t>
    </r>
  </si>
  <si>
    <t>VERBRUIK (GJ)</t>
  </si>
  <si>
    <t>kg</t>
  </si>
  <si>
    <t>TOTAAL ENERGIEVERBRUIK</t>
  </si>
  <si>
    <t>Tabel E1A. Input voor samenvattend figuur CO2-footprint</t>
  </si>
  <si>
    <t>Energieverbruik</t>
  </si>
  <si>
    <t>TABEL EV1. VOORTGANG JAARLIJKSE ENERGIEVERBRUIK, GEHELE ORGANISATIE (GJ)</t>
  </si>
  <si>
    <t>TABEL EV2. VOORTGANG JAARLIJKSE ENERGIEVERBRUIK, PER ORGANISATIE (GJ)</t>
  </si>
  <si>
    <t>TYPE ENERGIEDRAGER</t>
  </si>
  <si>
    <t>TABEL EV1A. VOORTGANG ENERGIEVERBRUIK, GEHELE ORGANISATIE</t>
  </si>
  <si>
    <t>TABEL EV2A. VOORTGANG ENERGIEVERBRUIK, PER ORGANISATIE</t>
  </si>
  <si>
    <t>Energieverbruik per kengetal</t>
  </si>
  <si>
    <t>Relatieve voortgang gereden kilometers</t>
  </si>
  <si>
    <t>Energiebeoordelingen</t>
  </si>
  <si>
    <t>Tabel A. Aardgasverbruik per vestiging</t>
  </si>
  <si>
    <t>Tabel B. Elektriciteitsverbruik per vestiging</t>
  </si>
  <si>
    <t>Vestiging</t>
  </si>
  <si>
    <t>Nieuwe Waterweg</t>
  </si>
  <si>
    <t>Houtrust</t>
  </si>
  <si>
    <t>Groote Lucht</t>
  </si>
  <si>
    <t>Harnaschpolder</t>
  </si>
  <si>
    <t>Watersystemen</t>
  </si>
  <si>
    <t>Facilitair</t>
  </si>
  <si>
    <t>GR Slibverwerking 2009</t>
  </si>
  <si>
    <t>GR RBG</t>
  </si>
  <si>
    <t>GR AQUON</t>
  </si>
  <si>
    <t>GR AquaMinerals</t>
  </si>
  <si>
    <t>Totaal</t>
  </si>
  <si>
    <t>Tabel C. Brandstof per soort</t>
  </si>
  <si>
    <t>Tabel D. Zakelijk vervoer per soort</t>
  </si>
  <si>
    <t>Benzine</t>
  </si>
  <si>
    <t>Gedeclareerde kilometers</t>
  </si>
  <si>
    <t>Diesel</t>
  </si>
  <si>
    <t>Openbaar vervoer</t>
  </si>
  <si>
    <t>Elektriciteit</t>
  </si>
  <si>
    <t>Treinkilometers</t>
  </si>
  <si>
    <t>Vliegreizen 700-2500</t>
  </si>
  <si>
    <t>Vliegreizen &gt;2500</t>
  </si>
  <si>
    <r>
      <t>CO</t>
    </r>
    <r>
      <rPr>
        <b/>
        <vertAlign val="subscript"/>
        <sz val="36"/>
        <color rgb="FF224F92"/>
        <rFont val="Verdana"/>
        <family val="2"/>
      </rPr>
      <t>2</t>
    </r>
    <r>
      <rPr>
        <b/>
        <sz val="36"/>
        <color rgb="FF224F92"/>
        <rFont val="Verdana"/>
        <family val="2"/>
      </rPr>
      <t>-DATA</t>
    </r>
  </si>
  <si>
    <t>TABEL A1. INPUTDATA CO2-FOOTPRINT</t>
  </si>
  <si>
    <r>
      <t xml:space="preserve">ORGANISATIE </t>
    </r>
    <r>
      <rPr>
        <sz val="9.5"/>
        <rFont val="Verdana"/>
        <family val="2"/>
      </rPr>
      <t>(IDENTIFICATIE)</t>
    </r>
  </si>
  <si>
    <t>% IN BOUNDARY</t>
  </si>
  <si>
    <t>JAAR</t>
  </si>
  <si>
    <t>TYPE FOOTPRINT</t>
  </si>
  <si>
    <r>
      <t xml:space="preserve">SCOPE EMISSIES </t>
    </r>
    <r>
      <rPr>
        <sz val="9.5"/>
        <rFont val="Verdana"/>
        <family val="2"/>
      </rPr>
      <t>(SCOPE 1, 2 EN BT)</t>
    </r>
  </si>
  <si>
    <t>EMISSIESTROOM</t>
  </si>
  <si>
    <t>AANTAL IN FOOTPRINT (OBV % IN BOUNDARY)</t>
  </si>
  <si>
    <r>
      <t>EENHEID</t>
    </r>
    <r>
      <rPr>
        <sz val="9.5"/>
        <rFont val="Verdana"/>
        <family val="2"/>
      </rPr>
      <t xml:space="preserve"> (AANSLUITEND OP AANTAL)</t>
    </r>
  </si>
  <si>
    <t>EMISSIEFACTOR</t>
  </si>
  <si>
    <r>
      <t xml:space="preserve">EENHEID </t>
    </r>
    <r>
      <rPr>
        <sz val="9.5"/>
        <rFont val="Verdana"/>
        <family val="2"/>
      </rPr>
      <t>(AANSLUITEND OP EMISSIEFACTOR)</t>
    </r>
  </si>
  <si>
    <r>
      <t xml:space="preserve">CO2-UITSTOOT </t>
    </r>
    <r>
      <rPr>
        <sz val="9.5"/>
        <rFont val="Verdana"/>
        <family val="2"/>
      </rPr>
      <t>(TON)</t>
    </r>
  </si>
  <si>
    <r>
      <t xml:space="preserve">BRONGEGEVENS                                    </t>
    </r>
    <r>
      <rPr>
        <sz val="9.5"/>
        <rFont val="Verdana"/>
        <family val="2"/>
      </rPr>
      <t>(BESTANDSNAAM)</t>
    </r>
  </si>
  <si>
    <t>TOELICHTING</t>
  </si>
  <si>
    <t>VESTIGING</t>
  </si>
  <si>
    <t>GJ PER EENHEID</t>
  </si>
  <si>
    <t>Hoeveelheid verpompt afvalwater</t>
  </si>
  <si>
    <t>Z-info</t>
  </si>
  <si>
    <t>Klimaatmonitor Delfland verslagjaar 2019, tabblad energie</t>
  </si>
  <si>
    <t>Rij 17</t>
  </si>
  <si>
    <t>Rij 22, biomassa</t>
  </si>
  <si>
    <t>Rij 17, Europese stroom</t>
  </si>
  <si>
    <t>Rij 24</t>
  </si>
  <si>
    <t>Rij 45</t>
  </si>
  <si>
    <t>Rij 92</t>
  </si>
  <si>
    <t>Rij 84</t>
  </si>
  <si>
    <t>Rij 103</t>
  </si>
  <si>
    <t>Klimaatmonitor Delfland verslagjaar 2019, tabblad personenmobiliteit</t>
  </si>
  <si>
    <t>Rij 6</t>
  </si>
  <si>
    <t>Rij 8</t>
  </si>
  <si>
    <t>Rij 11</t>
  </si>
  <si>
    <t>Rij 27, declaraties dienstreizen</t>
  </si>
  <si>
    <t>Rij 29, woon/werk km´s</t>
  </si>
  <si>
    <t>Rij 37</t>
  </si>
  <si>
    <t>GR Slibverwerking 2009 - 2019 en 2020</t>
  </si>
  <si>
    <t>Milieujaarverslag Slibverbrandingsinstallatie 2020, pagina 22</t>
  </si>
  <si>
    <t>Gas en elektra vastgoed Schiedam</t>
  </si>
  <si>
    <t>CO2-ladder 2019-2021 AQUON</t>
  </si>
  <si>
    <t>Brandstof Aquon 2019, 2020 en 2021</t>
  </si>
  <si>
    <t>Klimaatmonitor Delfland verslagjaar 2020, tabblad energie</t>
  </si>
  <si>
    <t>Rij 25 min rij 28</t>
  </si>
  <si>
    <t>Klimaatmonitor Delfland verslagjaar 2020, tabblad personenmobiliteit</t>
  </si>
  <si>
    <t>Rij 55, woon-werk verkeer</t>
  </si>
  <si>
    <t>Rij 49</t>
  </si>
  <si>
    <t>Rij 64</t>
  </si>
  <si>
    <t>Woon-werk ipv zakelijk,geen onderscheid van NS</t>
  </si>
  <si>
    <t>Rij 51</t>
  </si>
  <si>
    <t>Milieujaarverslag Slibverbrandingsinstallatie 2020, pagina 90</t>
  </si>
  <si>
    <t>HDD- Uitvraag Waterschappen verslagjaar 2021 versie 5 - tabblad Energie</t>
  </si>
  <si>
    <t>Rij 18</t>
  </si>
  <si>
    <t>Rij 25 min 28</t>
  </si>
  <si>
    <t>Rij 93</t>
  </si>
  <si>
    <t>Rij 101</t>
  </si>
  <si>
    <t>Rij 112</t>
  </si>
  <si>
    <t>HDD- Uitvraag Waterschappen verslagjaar 2021 versie 5 - tabblad personenmobiliteit</t>
  </si>
  <si>
    <t>GR Slibverwerking 2009 - 2021 en 2022</t>
  </si>
  <si>
    <t>Mail Wiebe Bosma 15/4/22 HHSK</t>
  </si>
  <si>
    <t>Klimaatmonitor Delfland verslagjaar 2022, tabblad energie</t>
  </si>
  <si>
    <t>Klimaatmonitor Delfland verslagjaar 2022, tabblad personenmobiliteit</t>
  </si>
  <si>
    <t>Verbruik elektrische auto's - kilometers (groene stroom)</t>
  </si>
  <si>
    <t>Groene stroom km elektrisch</t>
  </si>
  <si>
    <t>Mail Wiebe Bosma 11/5/23</t>
  </si>
  <si>
    <t>Schatting obv 2021</t>
  </si>
  <si>
    <t>Mail Wim Janssen 2/5/23</t>
  </si>
  <si>
    <t>AQUON CO2-LADDER 2019-2022</t>
  </si>
  <si>
    <t>GR AquaMinerals 2022</t>
  </si>
  <si>
    <t>Mail Anne Marieke AquaMinerals 10/1/22 van Aalke Lida de Jong</t>
  </si>
  <si>
    <t>CO2PL basisoverzicht Waternet</t>
  </si>
  <si>
    <t>INPUT KEUZEMENU</t>
  </si>
  <si>
    <t>TABEL X1. OVERZICHT KEUZEVARIABELEN IN KEUZEMENU'S</t>
  </si>
  <si>
    <t>ORGANISATIES</t>
  </si>
  <si>
    <t>JAARTALLEN</t>
  </si>
  <si>
    <t>SCOPE</t>
  </si>
  <si>
    <t>ENERGIESTROOM</t>
  </si>
  <si>
    <t>CONVERSIEFACTOR</t>
  </si>
  <si>
    <t>KPI</t>
  </si>
  <si>
    <t>https://www.infomil.nl/link-aim/tabel/</t>
  </si>
  <si>
    <t>gram CO2/m3</t>
  </si>
  <si>
    <t>Memo</t>
  </si>
  <si>
    <t>Biomassa</t>
  </si>
  <si>
    <t>gram CO2/kg</t>
  </si>
  <si>
    <t>GR AquaMinerals 2023</t>
  </si>
  <si>
    <t>gram CO2/liter</t>
  </si>
  <si>
    <t>Brandstofverbruik - HVO</t>
  </si>
  <si>
    <t>Brandstofverbruik - LPG</t>
  </si>
  <si>
    <t>Brandstofverbruik - CNG</t>
  </si>
  <si>
    <t>gram CO2/kWh</t>
  </si>
  <si>
    <t>gram CO2/GJ</t>
  </si>
  <si>
    <t>bt</t>
  </si>
  <si>
    <t>gram CO2/km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</si>
</sst>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_ * #,##0.0_ ;_ * \-#,##0.0_ ;_ * &quot;-&quot;??_ ;_ @_ "/>
    <numFmt numFmtId="167" formatCode="_ * #,##0.0_ ;_ * \-#,##0.0_ ;_ * &quot;-&quot;?_ ;_ @_ "/>
    <numFmt numFmtId="168" formatCode="_-* #,##0.00_-;\-* #,##0.00_-;_-* &quot;-&quot;??_-;_-@_-"/>
    <numFmt numFmtId="169" formatCode="#,##0.00000"/>
    <numFmt numFmtId="170" formatCode="#,##0.0"/>
  </numFmts>
  <fonts count="44" x14ac:knownFonts="1">
    <font>
      <sz val="11"/>
      <color theme="1"/>
      <name val="Arial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12"/>
      <color theme="0"/>
      <name val="Verdana"/>
      <family val="2"/>
    </font>
    <font>
      <sz val="12"/>
      <color theme="0"/>
      <name val="Verdana"/>
      <family val="2"/>
    </font>
    <font>
      <b/>
      <i/>
      <sz val="12"/>
      <color theme="1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2"/>
      <color rgb="FFFFFFFF"/>
      <name val="Verdana"/>
      <family val="2"/>
    </font>
    <font>
      <sz val="10"/>
      <name val="Arial"/>
      <family val="2"/>
    </font>
    <font>
      <b/>
      <sz val="24"/>
      <color theme="1"/>
      <name val="Verdana"/>
      <family val="2"/>
    </font>
    <font>
      <b/>
      <vertAlign val="subscript"/>
      <sz val="12"/>
      <name val="Verdana"/>
      <family val="2"/>
    </font>
    <font>
      <b/>
      <sz val="9"/>
      <color theme="1"/>
      <name val="Verdana"/>
      <family val="2"/>
    </font>
    <font>
      <sz val="9"/>
      <color theme="1"/>
      <name val="Verdana"/>
      <family val="2"/>
    </font>
    <font>
      <vertAlign val="superscript"/>
      <sz val="9"/>
      <color theme="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9.5"/>
      <color theme="1"/>
      <name val="Verdana"/>
      <family val="2"/>
    </font>
    <font>
      <sz val="9.5"/>
      <color theme="1"/>
      <name val="Verdana"/>
      <family val="2"/>
    </font>
    <font>
      <sz val="9.5"/>
      <color rgb="FF000000"/>
      <name val="Verdana"/>
      <family val="2"/>
    </font>
    <font>
      <b/>
      <sz val="9.5"/>
      <name val="Verdana"/>
      <family val="2"/>
    </font>
    <font>
      <sz val="9.5"/>
      <name val="Verdana"/>
      <family val="2"/>
    </font>
    <font>
      <vertAlign val="subscript"/>
      <sz val="9.5"/>
      <name val="Verdana"/>
      <family val="2"/>
    </font>
    <font>
      <b/>
      <sz val="9"/>
      <color rgb="FF000000"/>
      <name val="Verdana"/>
      <family val="2"/>
    </font>
    <font>
      <b/>
      <sz val="12"/>
      <color rgb="FF000000"/>
      <name val="Verdana"/>
      <family val="2"/>
    </font>
    <font>
      <b/>
      <sz val="2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b/>
      <sz val="36"/>
      <color rgb="FF6BBC93"/>
      <name val="Verdana"/>
      <family val="2"/>
    </font>
    <font>
      <sz val="36"/>
      <color theme="1"/>
      <name val="Verdana"/>
      <family val="2"/>
    </font>
    <font>
      <sz val="11"/>
      <color theme="1"/>
      <name val="Verdana"/>
      <family val="2"/>
    </font>
    <font>
      <sz val="11"/>
      <name val="Verdana"/>
      <family val="2"/>
    </font>
    <font>
      <sz val="8"/>
      <color theme="0"/>
      <name val="Verdana"/>
      <family val="2"/>
    </font>
    <font>
      <vertAlign val="subscript"/>
      <sz val="9"/>
      <color theme="1"/>
      <name val="Verdana"/>
      <family val="2"/>
    </font>
    <font>
      <b/>
      <sz val="12"/>
      <color rgb="FFF58930"/>
      <name val="Verdana"/>
      <family val="2"/>
    </font>
    <font>
      <b/>
      <sz val="36"/>
      <color theme="5"/>
      <name val="Verdana"/>
      <family val="2"/>
    </font>
    <font>
      <b/>
      <vertAlign val="subscript"/>
      <sz val="12"/>
      <color theme="0"/>
      <name val="Verdana"/>
      <family val="2"/>
    </font>
    <font>
      <b/>
      <sz val="36"/>
      <color rgb="FF224F92"/>
      <name val="Verdana"/>
      <family val="2"/>
    </font>
    <font>
      <b/>
      <vertAlign val="subscript"/>
      <sz val="36"/>
      <color rgb="FF224F92"/>
      <name val="Verdana"/>
      <family val="2"/>
    </font>
    <font>
      <b/>
      <sz val="9.5"/>
      <color theme="0"/>
      <name val="Verdana"/>
      <family val="2"/>
    </font>
    <font>
      <sz val="11"/>
      <color theme="0"/>
      <name val="Verdana"/>
      <family val="2"/>
    </font>
    <font>
      <b/>
      <sz val="9"/>
      <color theme="0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61B57D"/>
        <bgColor rgb="FF61B57D"/>
      </patternFill>
    </fill>
    <fill>
      <patternFill patternType="solid">
        <fgColor rgb="FF7F7F7F"/>
        <bgColor rgb="FF7F7F7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61B57D"/>
      </patternFill>
    </fill>
    <fill>
      <patternFill patternType="solid">
        <fgColor theme="0"/>
        <bgColor rgb="FF7F7F7F"/>
      </patternFill>
    </fill>
    <fill>
      <patternFill patternType="solid">
        <fgColor theme="0"/>
        <bgColor rgb="FFE2EFD9"/>
      </patternFill>
    </fill>
    <fill>
      <patternFill patternType="solid">
        <fgColor rgb="FF6BBC93"/>
        <bgColor rgb="FF61B57D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E2EFD9"/>
      </patternFill>
    </fill>
    <fill>
      <patternFill patternType="solid">
        <fgColor theme="0" tint="-0.14999847407452621"/>
        <bgColor rgb="FF7F7F7F"/>
      </patternFill>
    </fill>
    <fill>
      <patternFill patternType="solid">
        <fgColor theme="0" tint="-0.14999847407452621"/>
        <bgColor rgb="FF61B57D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6BBC93"/>
        <bgColor rgb="FF7F7F7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BBC93"/>
        <bgColor rgb="FFE2EFD9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6BBC93"/>
      </patternFill>
    </fill>
    <fill>
      <patternFill patternType="solid">
        <fgColor theme="0"/>
        <bgColor rgb="FFD8D8D8"/>
      </patternFill>
    </fill>
    <fill>
      <patternFill patternType="solid">
        <fgColor rgb="FF224F92"/>
        <bgColor rgb="FF61B57D"/>
      </patternFill>
    </fill>
    <fill>
      <patternFill patternType="solid">
        <fgColor rgb="FF224F92"/>
        <bgColor rgb="FF7F7F7F"/>
      </patternFill>
    </fill>
    <fill>
      <patternFill patternType="solid">
        <fgColor rgb="FF224F92"/>
        <bgColor rgb="FFE2EFD9"/>
      </patternFill>
    </fill>
    <fill>
      <patternFill patternType="solid">
        <fgColor rgb="FF224F92"/>
        <bgColor rgb="FF6BBC93"/>
      </patternFill>
    </fill>
    <fill>
      <patternFill patternType="solid">
        <fgColor rgb="FF224F92"/>
        <bgColor indexed="64"/>
      </patternFill>
    </fill>
    <fill>
      <patternFill patternType="solid">
        <fgColor rgb="FFF2F2F2"/>
        <bgColor rgb="FFFFFFFF"/>
      </patternFill>
    </fill>
  </fills>
  <borders count="6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rgb="FF00000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rgb="FF00000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n">
        <color indexed="64"/>
      </right>
      <top style="thick">
        <color theme="0"/>
      </top>
      <bottom/>
      <diagonal/>
    </border>
    <border>
      <left style="thin">
        <color indexed="64"/>
      </left>
      <right style="thick">
        <color theme="0"/>
      </right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ck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thick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ck">
        <color theme="0"/>
      </bottom>
      <diagonal/>
    </border>
    <border>
      <left/>
      <right style="medium">
        <color theme="0"/>
      </right>
      <top style="thick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ck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 style="thick">
        <color theme="0"/>
      </right>
      <top/>
      <bottom style="medium">
        <color theme="0"/>
      </bottom>
      <diagonal/>
    </border>
    <border>
      <left style="thin">
        <color theme="0" tint="-0.14999847407452621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rgb="FFBFBFB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rgb="FFBFBFBF"/>
      </bottom>
      <diagonal/>
    </border>
    <border>
      <left/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/>
      <bottom/>
      <diagonal/>
    </border>
    <border>
      <left style="thick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</borders>
  <cellStyleXfs count="7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1" fillId="0" borderId="1" applyFont="0" applyFill="0" applyBorder="0" applyAlignment="0" applyProtection="0"/>
    <xf numFmtId="0" fontId="29" fillId="0" borderId="1"/>
    <xf numFmtId="0" fontId="8" fillId="0" borderId="1"/>
    <xf numFmtId="9" fontId="8" fillId="0" borderId="1" applyFont="0" applyFill="0" applyBorder="0" applyAlignment="0" applyProtection="0"/>
  </cellStyleXfs>
  <cellXfs count="384">
    <xf numFmtId="0" fontId="0" fillId="0" borderId="0" xfId="0"/>
    <xf numFmtId="0" fontId="2" fillId="2" borderId="1" xfId="0" applyFont="1" applyFill="1" applyBorder="1"/>
    <xf numFmtId="0" fontId="2" fillId="5" borderId="0" xfId="0" applyFont="1" applyFill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3" fillId="4" borderId="2" xfId="0" applyFont="1" applyFill="1" applyBorder="1"/>
    <xf numFmtId="0" fontId="4" fillId="4" borderId="2" xfId="0" applyFont="1" applyFill="1" applyBorder="1" applyAlignment="1">
      <alignment wrapText="1"/>
    </xf>
    <xf numFmtId="0" fontId="4" fillId="7" borderId="1" xfId="0" applyFont="1" applyFill="1" applyBorder="1"/>
    <xf numFmtId="0" fontId="2" fillId="5" borderId="1" xfId="0" applyFont="1" applyFill="1" applyBorder="1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vertical="center"/>
    </xf>
    <xf numFmtId="166" fontId="2" fillId="2" borderId="1" xfId="0" applyNumberFormat="1" applyFont="1" applyFill="1" applyBorder="1" applyAlignment="1">
      <alignment horizontal="left" vertical="center"/>
    </xf>
    <xf numFmtId="164" fontId="2" fillId="5" borderId="0" xfId="0" applyNumberFormat="1" applyFont="1" applyFill="1"/>
    <xf numFmtId="166" fontId="2" fillId="5" borderId="0" xfId="0" applyNumberFormat="1" applyFont="1" applyFill="1"/>
    <xf numFmtId="3" fontId="2" fillId="2" borderId="1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vertical="center"/>
    </xf>
    <xf numFmtId="165" fontId="1" fillId="8" borderId="1" xfId="0" applyNumberFormat="1" applyFont="1" applyFill="1" applyBorder="1" applyAlignment="1">
      <alignment horizontal="left" vertical="center"/>
    </xf>
    <xf numFmtId="0" fontId="10" fillId="7" borderId="1" xfId="0" applyFont="1" applyFill="1" applyBorder="1"/>
    <xf numFmtId="0" fontId="10" fillId="7" borderId="1" xfId="0" applyFont="1" applyFill="1" applyBorder="1" applyAlignment="1">
      <alignment vertical="center" wrapText="1"/>
    </xf>
    <xf numFmtId="3" fontId="2" fillId="2" borderId="1" xfId="0" applyNumberFormat="1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/>
    </xf>
    <xf numFmtId="3" fontId="2" fillId="2" borderId="1" xfId="0" applyNumberFormat="1" applyFont="1" applyFill="1" applyBorder="1" applyAlignment="1">
      <alignment horizontal="left"/>
    </xf>
    <xf numFmtId="165" fontId="2" fillId="2" borderId="1" xfId="0" applyNumberFormat="1" applyFont="1" applyFill="1" applyBorder="1" applyAlignment="1">
      <alignment vertical="center"/>
    </xf>
    <xf numFmtId="0" fontId="5" fillId="8" borderId="1" xfId="0" applyFont="1" applyFill="1" applyBorder="1" applyAlignment="1">
      <alignment vertical="center" wrapText="1"/>
    </xf>
    <xf numFmtId="165" fontId="1" fillId="8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vertical="center"/>
    </xf>
    <xf numFmtId="166" fontId="1" fillId="8" borderId="1" xfId="0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left" vertical="center"/>
    </xf>
    <xf numFmtId="0" fontId="2" fillId="0" borderId="0" xfId="0" applyFont="1"/>
    <xf numFmtId="0" fontId="6" fillId="2" borderId="2" xfId="0" applyFont="1" applyFill="1" applyBorder="1"/>
    <xf numFmtId="43" fontId="6" fillId="5" borderId="2" xfId="1" applyFont="1" applyFill="1" applyBorder="1" applyAlignment="1">
      <alignment horizontal="right"/>
    </xf>
    <xf numFmtId="43" fontId="6" fillId="2" borderId="2" xfId="1" applyFont="1" applyFill="1" applyBorder="1" applyAlignment="1">
      <alignment horizontal="right"/>
    </xf>
    <xf numFmtId="9" fontId="2" fillId="5" borderId="0" xfId="2" applyFont="1" applyFill="1" applyAlignment="1"/>
    <xf numFmtId="9" fontId="2" fillId="2" borderId="1" xfId="2" applyFont="1" applyFill="1" applyBorder="1"/>
    <xf numFmtId="9" fontId="2" fillId="0" borderId="0" xfId="2" applyFont="1" applyAlignment="1"/>
    <xf numFmtId="0" fontId="19" fillId="10" borderId="6" xfId="0" applyFont="1" applyFill="1" applyBorder="1"/>
    <xf numFmtId="0" fontId="20" fillId="11" borderId="7" xfId="0" applyFont="1" applyFill="1" applyBorder="1"/>
    <xf numFmtId="0" fontId="19" fillId="10" borderId="8" xfId="0" applyFont="1" applyFill="1" applyBorder="1"/>
    <xf numFmtId="0" fontId="21" fillId="11" borderId="9" xfId="0" applyFont="1" applyFill="1" applyBorder="1" applyAlignment="1">
      <alignment horizontal="left"/>
    </xf>
    <xf numFmtId="0" fontId="19" fillId="11" borderId="10" xfId="0" applyFont="1" applyFill="1" applyBorder="1" applyAlignment="1">
      <alignment horizontal="left"/>
    </xf>
    <xf numFmtId="0" fontId="20" fillId="11" borderId="11" xfId="0" applyFont="1" applyFill="1" applyBorder="1" applyAlignment="1">
      <alignment horizontal="left"/>
    </xf>
    <xf numFmtId="0" fontId="22" fillId="14" borderId="12" xfId="0" applyFont="1" applyFill="1" applyBorder="1"/>
    <xf numFmtId="0" fontId="22" fillId="14" borderId="13" xfId="0" applyFont="1" applyFill="1" applyBorder="1"/>
    <xf numFmtId="0" fontId="19" fillId="11" borderId="10" xfId="0" applyFont="1" applyFill="1" applyBorder="1"/>
    <xf numFmtId="0" fontId="20" fillId="11" borderId="11" xfId="0" applyFont="1" applyFill="1" applyBorder="1"/>
    <xf numFmtId="0" fontId="19" fillId="13" borderId="3" xfId="0" applyFont="1" applyFill="1" applyBorder="1" applyAlignment="1">
      <alignment vertical="center"/>
    </xf>
    <xf numFmtId="166" fontId="19" fillId="13" borderId="4" xfId="0" applyNumberFormat="1" applyFont="1" applyFill="1" applyBorder="1" applyAlignment="1">
      <alignment vertical="center"/>
    </xf>
    <xf numFmtId="0" fontId="18" fillId="12" borderId="6" xfId="0" applyFont="1" applyFill="1" applyBorder="1" applyAlignment="1">
      <alignment vertical="center"/>
    </xf>
    <xf numFmtId="3" fontId="17" fillId="10" borderId="18" xfId="0" applyNumberFormat="1" applyFont="1" applyFill="1" applyBorder="1" applyAlignment="1">
      <alignment horizontal="right" vertical="center"/>
    </xf>
    <xf numFmtId="3" fontId="17" fillId="10" borderId="18" xfId="0" applyNumberFormat="1" applyFont="1" applyFill="1" applyBorder="1" applyAlignment="1">
      <alignment horizontal="left" vertical="center"/>
    </xf>
    <xf numFmtId="166" fontId="17" fillId="10" borderId="7" xfId="0" applyNumberFormat="1" applyFont="1" applyFill="1" applyBorder="1" applyAlignment="1">
      <alignment horizontal="left" vertical="center"/>
    </xf>
    <xf numFmtId="0" fontId="17" fillId="10" borderId="19" xfId="0" applyFont="1" applyFill="1" applyBorder="1" applyAlignment="1">
      <alignment vertical="center"/>
    </xf>
    <xf numFmtId="0" fontId="22" fillId="14" borderId="21" xfId="0" applyFont="1" applyFill="1" applyBorder="1" applyAlignment="1">
      <alignment vertical="center"/>
    </xf>
    <xf numFmtId="0" fontId="22" fillId="14" borderId="21" xfId="0" applyFont="1" applyFill="1" applyBorder="1" applyAlignment="1">
      <alignment vertical="center" wrapText="1"/>
    </xf>
    <xf numFmtId="0" fontId="22" fillId="14" borderId="12" xfId="0" applyFont="1" applyFill="1" applyBorder="1" applyAlignment="1">
      <alignment vertical="center"/>
    </xf>
    <xf numFmtId="0" fontId="22" fillId="14" borderId="13" xfId="0" applyFont="1" applyFill="1" applyBorder="1" applyAlignment="1">
      <alignment vertical="center" wrapText="1"/>
    </xf>
    <xf numFmtId="0" fontId="25" fillId="12" borderId="6" xfId="0" applyFont="1" applyFill="1" applyBorder="1" applyAlignment="1">
      <alignment vertical="center"/>
    </xf>
    <xf numFmtId="3" fontId="15" fillId="10" borderId="18" xfId="0" applyNumberFormat="1" applyFont="1" applyFill="1" applyBorder="1" applyAlignment="1">
      <alignment horizontal="right" vertical="center"/>
    </xf>
    <xf numFmtId="0" fontId="15" fillId="10" borderId="18" xfId="0" applyFont="1" applyFill="1" applyBorder="1" applyAlignment="1">
      <alignment vertical="center"/>
    </xf>
    <xf numFmtId="166" fontId="15" fillId="10" borderId="7" xfId="0" applyNumberFormat="1" applyFont="1" applyFill="1" applyBorder="1" applyAlignment="1">
      <alignment horizontal="left" vertical="center"/>
    </xf>
    <xf numFmtId="0" fontId="25" fillId="12" borderId="8" xfId="0" applyFont="1" applyFill="1" applyBorder="1" applyAlignment="1">
      <alignment vertical="center"/>
    </xf>
    <xf numFmtId="0" fontId="15" fillId="10" borderId="19" xfId="0" applyFont="1" applyFill="1" applyBorder="1" applyAlignment="1">
      <alignment vertical="center"/>
    </xf>
    <xf numFmtId="9" fontId="15" fillId="11" borderId="16" xfId="2" applyFont="1" applyFill="1" applyBorder="1" applyAlignment="1"/>
    <xf numFmtId="9" fontId="15" fillId="11" borderId="17" xfId="2" applyFont="1" applyFill="1" applyBorder="1" applyAlignment="1"/>
    <xf numFmtId="0" fontId="18" fillId="10" borderId="8" xfId="0" applyFont="1" applyFill="1" applyBorder="1" applyAlignment="1">
      <alignment vertical="center"/>
    </xf>
    <xf numFmtId="165" fontId="19" fillId="13" borderId="4" xfId="0" applyNumberFormat="1" applyFont="1" applyFill="1" applyBorder="1" applyAlignment="1">
      <alignment horizontal="left" vertical="center"/>
    </xf>
    <xf numFmtId="0" fontId="14" fillId="10" borderId="8" xfId="0" applyFont="1" applyFill="1" applyBorder="1" applyAlignment="1">
      <alignment vertical="center"/>
    </xf>
    <xf numFmtId="0" fontId="19" fillId="13" borderId="15" xfId="0" applyFont="1" applyFill="1" applyBorder="1" applyAlignment="1">
      <alignment vertical="center"/>
    </xf>
    <xf numFmtId="165" fontId="19" fillId="13" borderId="4" xfId="0" applyNumberFormat="1" applyFont="1" applyFill="1" applyBorder="1" applyAlignment="1">
      <alignment horizontal="center" vertical="center"/>
    </xf>
    <xf numFmtId="0" fontId="14" fillId="10" borderId="6" xfId="0" applyFont="1" applyFill="1" applyBorder="1" applyAlignment="1">
      <alignment horizontal="left"/>
    </xf>
    <xf numFmtId="0" fontId="22" fillId="19" borderId="22" xfId="0" applyFont="1" applyFill="1" applyBorder="1" applyAlignment="1">
      <alignment vertical="center" wrapText="1"/>
    </xf>
    <xf numFmtId="167" fontId="22" fillId="19" borderId="23" xfId="0" applyNumberFormat="1" applyFont="1" applyFill="1" applyBorder="1" applyAlignment="1">
      <alignment vertical="center"/>
    </xf>
    <xf numFmtId="0" fontId="14" fillId="16" borderId="3" xfId="0" applyFont="1" applyFill="1" applyBorder="1" applyAlignment="1">
      <alignment horizontal="left"/>
    </xf>
    <xf numFmtId="166" fontId="14" fillId="16" borderId="15" xfId="1" applyNumberFormat="1" applyFont="1" applyFill="1" applyBorder="1"/>
    <xf numFmtId="0" fontId="22" fillId="17" borderId="22" xfId="0" applyFont="1" applyFill="1" applyBorder="1"/>
    <xf numFmtId="1" fontId="22" fillId="17" borderId="23" xfId="0" applyNumberFormat="1" applyFont="1" applyFill="1" applyBorder="1" applyAlignment="1">
      <alignment horizontal="right" wrapText="1"/>
    </xf>
    <xf numFmtId="0" fontId="22" fillId="15" borderId="3" xfId="0" applyFont="1" applyFill="1" applyBorder="1" applyAlignment="1">
      <alignment horizontal="center" vertical="center"/>
    </xf>
    <xf numFmtId="1" fontId="22" fillId="15" borderId="15" xfId="0" applyNumberFormat="1" applyFont="1" applyFill="1" applyBorder="1" applyAlignment="1">
      <alignment horizontal="right"/>
    </xf>
    <xf numFmtId="0" fontId="14" fillId="18" borderId="3" xfId="0" applyFont="1" applyFill="1" applyBorder="1"/>
    <xf numFmtId="166" fontId="14" fillId="18" borderId="15" xfId="1" applyNumberFormat="1" applyFont="1" applyFill="1" applyBorder="1" applyAlignment="1"/>
    <xf numFmtId="166" fontId="15" fillId="10" borderId="18" xfId="1" applyNumberFormat="1" applyFont="1" applyFill="1" applyBorder="1" applyAlignment="1">
      <alignment horizontal="left" vertical="center"/>
    </xf>
    <xf numFmtId="0" fontId="7" fillId="14" borderId="3" xfId="0" applyFont="1" applyFill="1" applyBorder="1"/>
    <xf numFmtId="0" fontId="7" fillId="14" borderId="4" xfId="0" applyFont="1" applyFill="1" applyBorder="1" applyAlignment="1">
      <alignment horizontal="left"/>
    </xf>
    <xf numFmtId="0" fontId="1" fillId="10" borderId="12" xfId="0" applyFont="1" applyFill="1" applyBorder="1"/>
    <xf numFmtId="0" fontId="26" fillId="11" borderId="13" xfId="0" applyFont="1" applyFill="1" applyBorder="1" applyAlignment="1">
      <alignment horizontal="left"/>
    </xf>
    <xf numFmtId="0" fontId="22" fillId="15" borderId="24" xfId="0" applyFont="1" applyFill="1" applyBorder="1" applyAlignment="1">
      <alignment horizontal="center" vertical="center"/>
    </xf>
    <xf numFmtId="1" fontId="22" fillId="15" borderId="25" xfId="0" applyNumberFormat="1" applyFont="1" applyFill="1" applyBorder="1" applyAlignment="1">
      <alignment horizontal="right"/>
    </xf>
    <xf numFmtId="0" fontId="22" fillId="17" borderId="24" xfId="0" applyFont="1" applyFill="1" applyBorder="1"/>
    <xf numFmtId="1" fontId="22" fillId="17" borderId="25" xfId="0" applyNumberFormat="1" applyFont="1" applyFill="1" applyBorder="1" applyAlignment="1">
      <alignment horizontal="right" wrapText="1"/>
    </xf>
    <xf numFmtId="0" fontId="20" fillId="11" borderId="19" xfId="0" applyFont="1" applyFill="1" applyBorder="1"/>
    <xf numFmtId="0" fontId="20" fillId="10" borderId="19" xfId="0" applyFont="1" applyFill="1" applyBorder="1"/>
    <xf numFmtId="9" fontId="20" fillId="11" borderId="19" xfId="2" applyFont="1" applyFill="1" applyBorder="1" applyAlignment="1"/>
    <xf numFmtId="0" fontId="19" fillId="11" borderId="6" xfId="0" applyFont="1" applyFill="1" applyBorder="1"/>
    <xf numFmtId="0" fontId="20" fillId="11" borderId="18" xfId="0" applyFont="1" applyFill="1" applyBorder="1"/>
    <xf numFmtId="0" fontId="20" fillId="10" borderId="18" xfId="0" applyFont="1" applyFill="1" applyBorder="1"/>
    <xf numFmtId="0" fontId="19" fillId="11" borderId="8" xfId="0" applyFont="1" applyFill="1" applyBorder="1"/>
    <xf numFmtId="0" fontId="20" fillId="10" borderId="9" xfId="0" applyFont="1" applyFill="1" applyBorder="1"/>
    <xf numFmtId="0" fontId="22" fillId="14" borderId="24" xfId="0" applyFont="1" applyFill="1" applyBorder="1" applyAlignment="1">
      <alignment horizontal="right" vertical="center" wrapText="1"/>
    </xf>
    <xf numFmtId="0" fontId="22" fillId="14" borderId="25" xfId="0" applyFont="1" applyFill="1" applyBorder="1" applyAlignment="1">
      <alignment horizontal="right" vertical="center" wrapText="1"/>
    </xf>
    <xf numFmtId="0" fontId="22" fillId="18" borderId="25" xfId="0" applyFont="1" applyFill="1" applyBorder="1" applyAlignment="1">
      <alignment horizontal="right" vertical="center"/>
    </xf>
    <xf numFmtId="0" fontId="22" fillId="14" borderId="26" xfId="0" applyFont="1" applyFill="1" applyBorder="1" applyAlignment="1">
      <alignment horizontal="right" vertical="center" wrapText="1"/>
    </xf>
    <xf numFmtId="0" fontId="2" fillId="2" borderId="19" xfId="0" applyFont="1" applyFill="1" applyBorder="1"/>
    <xf numFmtId="0" fontId="2" fillId="2" borderId="20" xfId="0" applyFont="1" applyFill="1" applyBorder="1"/>
    <xf numFmtId="0" fontId="20" fillId="0" borderId="33" xfId="0" quotePrefix="1" applyFont="1" applyBorder="1"/>
    <xf numFmtId="0" fontId="20" fillId="0" borderId="18" xfId="0" quotePrefix="1" applyFont="1" applyBorder="1"/>
    <xf numFmtId="0" fontId="20" fillId="0" borderId="7" xfId="0" quotePrefix="1" applyFont="1" applyBorder="1"/>
    <xf numFmtId="0" fontId="20" fillId="0" borderId="19" xfId="0" quotePrefix="1" applyFont="1" applyBorder="1"/>
    <xf numFmtId="0" fontId="20" fillId="0" borderId="9" xfId="0" quotePrefix="1" applyFont="1" applyBorder="1"/>
    <xf numFmtId="0" fontId="20" fillId="10" borderId="8" xfId="0" quotePrefix="1" applyFont="1" applyFill="1" applyBorder="1"/>
    <xf numFmtId="0" fontId="20" fillId="2" borderId="19" xfId="0" quotePrefix="1" applyFont="1" applyFill="1" applyBorder="1"/>
    <xf numFmtId="0" fontId="20" fillId="2" borderId="9" xfId="0" quotePrefix="1" applyFont="1" applyFill="1" applyBorder="1"/>
    <xf numFmtId="0" fontId="20" fillId="10" borderId="8" xfId="0" applyFont="1" applyFill="1" applyBorder="1"/>
    <xf numFmtId="0" fontId="20" fillId="2" borderId="19" xfId="0" applyFont="1" applyFill="1" applyBorder="1"/>
    <xf numFmtId="0" fontId="20" fillId="2" borderId="9" xfId="0" applyFont="1" applyFill="1" applyBorder="1"/>
    <xf numFmtId="0" fontId="20" fillId="2" borderId="19" xfId="0" applyFont="1" applyFill="1" applyBorder="1" applyAlignment="1">
      <alignment horizontal="left"/>
    </xf>
    <xf numFmtId="0" fontId="20" fillId="2" borderId="9" xfId="0" applyFont="1" applyFill="1" applyBorder="1" applyAlignment="1">
      <alignment horizontal="left"/>
    </xf>
    <xf numFmtId="0" fontId="20" fillId="2" borderId="20" xfId="0" applyFont="1" applyFill="1" applyBorder="1"/>
    <xf numFmtId="0" fontId="20" fillId="2" borderId="11" xfId="0" applyFont="1" applyFill="1" applyBorder="1"/>
    <xf numFmtId="0" fontId="7" fillId="14" borderId="24" xfId="0" applyFont="1" applyFill="1" applyBorder="1"/>
    <xf numFmtId="0" fontId="7" fillId="14" borderId="25" xfId="0" applyFont="1" applyFill="1" applyBorder="1"/>
    <xf numFmtId="0" fontId="7" fillId="14" borderId="25" xfId="0" applyFont="1" applyFill="1" applyBorder="1" applyAlignment="1">
      <alignment horizontal="left"/>
    </xf>
    <xf numFmtId="0" fontId="20" fillId="10" borderId="19" xfId="0" applyFont="1" applyFill="1" applyBorder="1" applyAlignment="1">
      <alignment horizontal="right"/>
    </xf>
    <xf numFmtId="0" fontId="2" fillId="2" borderId="34" xfId="0" applyFont="1" applyFill="1" applyBorder="1"/>
    <xf numFmtId="0" fontId="2" fillId="2" borderId="35" xfId="0" applyFont="1" applyFill="1" applyBorder="1"/>
    <xf numFmtId="9" fontId="28" fillId="11" borderId="16" xfId="2" applyFont="1" applyFill="1" applyBorder="1" applyAlignment="1"/>
    <xf numFmtId="9" fontId="28" fillId="11" borderId="17" xfId="2" applyFont="1" applyFill="1" applyBorder="1" applyAlignment="1"/>
    <xf numFmtId="9" fontId="28" fillId="5" borderId="0" xfId="2" applyFont="1" applyFill="1" applyAlignment="1"/>
    <xf numFmtId="0" fontId="6" fillId="5" borderId="1" xfId="0" applyFont="1" applyFill="1" applyBorder="1" applyAlignment="1">
      <alignment horizontal="left"/>
    </xf>
    <xf numFmtId="0" fontId="19" fillId="11" borderId="36" xfId="0" applyFont="1" applyFill="1" applyBorder="1"/>
    <xf numFmtId="0" fontId="12" fillId="2" borderId="1" xfId="0" applyFont="1" applyFill="1" applyBorder="1" applyAlignment="1">
      <alignment horizontal="right" vertical="top"/>
    </xf>
    <xf numFmtId="0" fontId="23" fillId="11" borderId="9" xfId="0" applyFont="1" applyFill="1" applyBorder="1" applyAlignment="1">
      <alignment horizontal="left"/>
    </xf>
    <xf numFmtId="0" fontId="20" fillId="10" borderId="36" xfId="0" applyFont="1" applyFill="1" applyBorder="1"/>
    <xf numFmtId="0" fontId="20" fillId="10" borderId="38" xfId="0" applyFont="1" applyFill="1" applyBorder="1"/>
    <xf numFmtId="0" fontId="20" fillId="5" borderId="6" xfId="0" quotePrefix="1" applyFont="1" applyFill="1" applyBorder="1"/>
    <xf numFmtId="0" fontId="20" fillId="5" borderId="18" xfId="0" quotePrefix="1" applyFont="1" applyFill="1" applyBorder="1"/>
    <xf numFmtId="0" fontId="20" fillId="5" borderId="31" xfId="0" quotePrefix="1" applyFont="1" applyFill="1" applyBorder="1"/>
    <xf numFmtId="0" fontId="20" fillId="5" borderId="8" xfId="0" quotePrefix="1" applyFont="1" applyFill="1" applyBorder="1"/>
    <xf numFmtId="0" fontId="20" fillId="2" borderId="8" xfId="0" quotePrefix="1" applyFont="1" applyFill="1" applyBorder="1"/>
    <xf numFmtId="0" fontId="20" fillId="2" borderId="8" xfId="0" applyFont="1" applyFill="1" applyBorder="1"/>
    <xf numFmtId="0" fontId="20" fillId="2" borderId="30" xfId="0" applyFont="1" applyFill="1" applyBorder="1"/>
    <xf numFmtId="0" fontId="20" fillId="2" borderId="10" xfId="0" applyFont="1" applyFill="1" applyBorder="1"/>
    <xf numFmtId="0" fontId="20" fillId="2" borderId="32" xfId="0" applyFont="1" applyFill="1" applyBorder="1"/>
    <xf numFmtId="166" fontId="15" fillId="10" borderId="37" xfId="1" applyNumberFormat="1" applyFont="1" applyFill="1" applyBorder="1" applyAlignment="1">
      <alignment horizontal="left" vertical="center"/>
    </xf>
    <xf numFmtId="0" fontId="19" fillId="11" borderId="40" xfId="0" applyFont="1" applyFill="1" applyBorder="1"/>
    <xf numFmtId="0" fontId="19" fillId="11" borderId="39" xfId="0" applyFont="1" applyFill="1" applyBorder="1"/>
    <xf numFmtId="166" fontId="15" fillId="10" borderId="41" xfId="1" applyNumberFormat="1" applyFont="1" applyFill="1" applyBorder="1" applyAlignment="1">
      <alignment horizontal="left" vertical="center"/>
    </xf>
    <xf numFmtId="0" fontId="20" fillId="11" borderId="44" xfId="0" applyFont="1" applyFill="1" applyBorder="1"/>
    <xf numFmtId="0" fontId="20" fillId="10" borderId="44" xfId="0" applyFont="1" applyFill="1" applyBorder="1"/>
    <xf numFmtId="0" fontId="20" fillId="10" borderId="43" xfId="0" applyFont="1" applyFill="1" applyBorder="1"/>
    <xf numFmtId="0" fontId="19" fillId="11" borderId="45" xfId="0" applyFont="1" applyFill="1" applyBorder="1"/>
    <xf numFmtId="9" fontId="20" fillId="11" borderId="44" xfId="2" applyFont="1" applyFill="1" applyBorder="1" applyAlignment="1"/>
    <xf numFmtId="0" fontId="20" fillId="10" borderId="44" xfId="0" applyFont="1" applyFill="1" applyBorder="1" applyAlignment="1">
      <alignment horizontal="right"/>
    </xf>
    <xf numFmtId="0" fontId="20" fillId="10" borderId="45" xfId="0" applyFont="1" applyFill="1" applyBorder="1"/>
    <xf numFmtId="0" fontId="20" fillId="10" borderId="37" xfId="0" applyFont="1" applyFill="1" applyBorder="1"/>
    <xf numFmtId="0" fontId="20" fillId="10" borderId="46" xfId="0" applyFont="1" applyFill="1" applyBorder="1"/>
    <xf numFmtId="0" fontId="6" fillId="2" borderId="1" xfId="0" applyFont="1" applyFill="1" applyBorder="1"/>
    <xf numFmtId="0" fontId="7" fillId="14" borderId="47" xfId="0" applyFont="1" applyFill="1" applyBorder="1"/>
    <xf numFmtId="0" fontId="2" fillId="0" borderId="1" xfId="4" applyFont="1"/>
    <xf numFmtId="0" fontId="20" fillId="0" borderId="18" xfId="0" applyFont="1" applyBorder="1"/>
    <xf numFmtId="0" fontId="3" fillId="3" borderId="2" xfId="0" applyFont="1" applyFill="1" applyBorder="1" applyAlignment="1">
      <alignment vertical="center"/>
    </xf>
    <xf numFmtId="0" fontId="6" fillId="5" borderId="2" xfId="0" applyFont="1" applyFill="1" applyBorder="1"/>
    <xf numFmtId="0" fontId="2" fillId="2" borderId="1" xfId="5" applyFont="1" applyFill="1"/>
    <xf numFmtId="0" fontId="32" fillId="0" borderId="1" xfId="5" applyFont="1"/>
    <xf numFmtId="0" fontId="2" fillId="2" borderId="1" xfId="5" applyFont="1" applyFill="1" applyAlignment="1">
      <alignment vertical="top"/>
    </xf>
    <xf numFmtId="0" fontId="2" fillId="2" borderId="1" xfId="5" applyFont="1" applyFill="1" applyAlignment="1">
      <alignment horizontal="left"/>
    </xf>
    <xf numFmtId="0" fontId="14" fillId="20" borderId="12" xfId="5" applyFont="1" applyFill="1" applyBorder="1"/>
    <xf numFmtId="0" fontId="4" fillId="2" borderId="1" xfId="5" applyFont="1" applyFill="1"/>
    <xf numFmtId="0" fontId="14" fillId="21" borderId="8" xfId="5" applyFont="1" applyFill="1" applyBorder="1"/>
    <xf numFmtId="0" fontId="34" fillId="2" borderId="1" xfId="5" applyFont="1" applyFill="1"/>
    <xf numFmtId="0" fontId="14" fillId="21" borderId="12" xfId="5" applyFont="1" applyFill="1" applyBorder="1"/>
    <xf numFmtId="0" fontId="15" fillId="21" borderId="7" xfId="5" applyFont="1" applyFill="1" applyBorder="1"/>
    <xf numFmtId="0" fontId="14" fillId="21" borderId="10" xfId="5" applyFont="1" applyFill="1" applyBorder="1" applyAlignment="1">
      <alignment horizontal="left"/>
    </xf>
    <xf numFmtId="0" fontId="14" fillId="22" borderId="1" xfId="5" applyFont="1" applyFill="1" applyAlignment="1">
      <alignment horizontal="left"/>
    </xf>
    <xf numFmtId="0" fontId="15" fillId="22" borderId="1" xfId="5" applyFont="1" applyFill="1" applyAlignment="1">
      <alignment horizontal="left"/>
    </xf>
    <xf numFmtId="0" fontId="15" fillId="22" borderId="34" xfId="5" applyFont="1" applyFill="1" applyBorder="1" applyAlignment="1">
      <alignment horizontal="left"/>
    </xf>
    <xf numFmtId="0" fontId="2" fillId="2" borderId="34" xfId="5" applyFont="1" applyFill="1" applyBorder="1"/>
    <xf numFmtId="0" fontId="3" fillId="2" borderId="1" xfId="5" applyFont="1" applyFill="1" applyAlignment="1">
      <alignment vertical="center"/>
    </xf>
    <xf numFmtId="0" fontId="3" fillId="2" borderId="1" xfId="5" applyFont="1" applyFill="1" applyAlignment="1">
      <alignment horizontal="left" vertical="center"/>
    </xf>
    <xf numFmtId="0" fontId="14" fillId="20" borderId="3" xfId="5" applyFont="1" applyFill="1" applyBorder="1" applyAlignment="1">
      <alignment horizontal="center" vertical="center"/>
    </xf>
    <xf numFmtId="1" fontId="14" fillId="20" borderId="15" xfId="5" applyNumberFormat="1" applyFont="1" applyFill="1" applyBorder="1" applyAlignment="1">
      <alignment horizontal="right"/>
    </xf>
    <xf numFmtId="0" fontId="14" fillId="20" borderId="12" xfId="5" applyFont="1" applyFill="1" applyBorder="1" applyAlignment="1">
      <alignment vertical="center"/>
    </xf>
    <xf numFmtId="0" fontId="14" fillId="20" borderId="21" xfId="5" applyFont="1" applyFill="1" applyBorder="1" applyAlignment="1">
      <alignment vertical="center"/>
    </xf>
    <xf numFmtId="0" fontId="14" fillId="20" borderId="21" xfId="5" applyFont="1" applyFill="1" applyBorder="1" applyAlignment="1">
      <alignment vertical="center" wrapText="1"/>
    </xf>
    <xf numFmtId="0" fontId="14" fillId="20" borderId="13" xfId="5" applyFont="1" applyFill="1" applyBorder="1" applyAlignment="1">
      <alignment vertical="center" wrapText="1"/>
    </xf>
    <xf numFmtId="0" fontId="10" fillId="2" borderId="1" xfId="5" applyFont="1" applyFill="1"/>
    <xf numFmtId="0" fontId="10" fillId="2" borderId="1" xfId="5" applyFont="1" applyFill="1" applyAlignment="1">
      <alignment vertical="center" wrapText="1"/>
    </xf>
    <xf numFmtId="0" fontId="14" fillId="21" borderId="6" xfId="5" applyFont="1" applyFill="1" applyBorder="1" applyAlignment="1">
      <alignment vertical="center"/>
    </xf>
    <xf numFmtId="0" fontId="15" fillId="21" borderId="18" xfId="5" applyFont="1" applyFill="1" applyBorder="1" applyAlignment="1">
      <alignment vertical="center"/>
    </xf>
    <xf numFmtId="169" fontId="15" fillId="21" borderId="18" xfId="5" applyNumberFormat="1" applyFont="1" applyFill="1" applyBorder="1" applyAlignment="1">
      <alignment horizontal="left" vertical="center"/>
    </xf>
    <xf numFmtId="166" fontId="15" fillId="21" borderId="7" xfId="5" applyNumberFormat="1" applyFont="1" applyFill="1" applyBorder="1" applyAlignment="1">
      <alignment horizontal="left" vertical="center"/>
    </xf>
    <xf numFmtId="166" fontId="15" fillId="21" borderId="18" xfId="5" applyNumberFormat="1" applyFont="1" applyFill="1" applyBorder="1" applyAlignment="1">
      <alignment horizontal="left" vertical="center"/>
    </xf>
    <xf numFmtId="0" fontId="2" fillId="2" borderId="1" xfId="5" applyFont="1" applyFill="1" applyAlignment="1">
      <alignment vertical="center"/>
    </xf>
    <xf numFmtId="3" fontId="2" fillId="2" borderId="1" xfId="5" applyNumberFormat="1" applyFont="1" applyFill="1" applyAlignment="1">
      <alignment horizontal="right" vertical="center"/>
    </xf>
    <xf numFmtId="3" fontId="2" fillId="2" borderId="1" xfId="5" applyNumberFormat="1" applyFont="1" applyFill="1" applyAlignment="1">
      <alignment horizontal="left" vertical="center"/>
    </xf>
    <xf numFmtId="166" fontId="2" fillId="2" borderId="1" xfId="5" applyNumberFormat="1" applyFont="1" applyFill="1" applyAlignment="1">
      <alignment horizontal="left" vertical="center"/>
    </xf>
    <xf numFmtId="164" fontId="2" fillId="2" borderId="1" xfId="5" applyNumberFormat="1" applyFont="1" applyFill="1"/>
    <xf numFmtId="3" fontId="15" fillId="21" borderId="18" xfId="5" applyNumberFormat="1" applyFont="1" applyFill="1" applyBorder="1" applyAlignment="1">
      <alignment horizontal="left" vertical="center"/>
    </xf>
    <xf numFmtId="0" fontId="1" fillId="2" borderId="1" xfId="5" applyFont="1" applyFill="1"/>
    <xf numFmtId="0" fontId="14" fillId="21" borderId="8" xfId="5" applyFont="1" applyFill="1" applyBorder="1" applyAlignment="1">
      <alignment vertical="center"/>
    </xf>
    <xf numFmtId="0" fontId="1" fillId="2" borderId="1" xfId="5" applyFont="1" applyFill="1" applyAlignment="1">
      <alignment vertical="center"/>
    </xf>
    <xf numFmtId="165" fontId="2" fillId="2" borderId="1" xfId="5" applyNumberFormat="1" applyFont="1" applyFill="1" applyAlignment="1">
      <alignment vertical="center"/>
    </xf>
    <xf numFmtId="3" fontId="2" fillId="2" borderId="1" xfId="5" applyNumberFormat="1" applyFont="1" applyFill="1" applyAlignment="1">
      <alignment horizontal="left"/>
    </xf>
    <xf numFmtId="166" fontId="2" fillId="2" borderId="1" xfId="5" applyNumberFormat="1" applyFont="1" applyFill="1"/>
    <xf numFmtId="0" fontId="3" fillId="4" borderId="55" xfId="5" applyFont="1" applyFill="1" applyBorder="1"/>
    <xf numFmtId="0" fontId="3" fillId="4" borderId="55" xfId="5" applyFont="1" applyFill="1" applyBorder="1" applyAlignment="1">
      <alignment wrapText="1"/>
    </xf>
    <xf numFmtId="43" fontId="2" fillId="2" borderId="55" xfId="5" applyNumberFormat="1" applyFont="1" applyFill="1" applyBorder="1" applyAlignment="1">
      <alignment horizontal="right"/>
    </xf>
    <xf numFmtId="0" fontId="2" fillId="2" borderId="1" xfId="5" applyFont="1" applyFill="1" applyAlignment="1">
      <alignment horizontal="center"/>
    </xf>
    <xf numFmtId="165" fontId="1" fillId="2" borderId="1" xfId="5" applyNumberFormat="1" applyFont="1" applyFill="1" applyAlignment="1">
      <alignment horizontal="left" vertical="center"/>
    </xf>
    <xf numFmtId="0" fontId="5" fillId="2" borderId="1" xfId="5" applyFont="1" applyFill="1" applyAlignment="1">
      <alignment vertical="center" wrapText="1"/>
    </xf>
    <xf numFmtId="165" fontId="1" fillId="2" borderId="1" xfId="5" applyNumberFormat="1" applyFont="1" applyFill="1" applyAlignment="1">
      <alignment horizontal="center" vertical="center"/>
    </xf>
    <xf numFmtId="0" fontId="14" fillId="20" borderId="24" xfId="5" applyFont="1" applyFill="1" applyBorder="1" applyAlignment="1">
      <alignment horizontal="center" vertical="center"/>
    </xf>
    <xf numFmtId="1" fontId="14" fillId="20" borderId="25" xfId="5" applyNumberFormat="1" applyFont="1" applyFill="1" applyBorder="1" applyAlignment="1">
      <alignment horizontal="right"/>
    </xf>
    <xf numFmtId="0" fontId="14" fillId="21" borderId="6" xfId="5" applyFont="1" applyFill="1" applyBorder="1"/>
    <xf numFmtId="9" fontId="15" fillId="21" borderId="18" xfId="6" applyFont="1" applyFill="1" applyBorder="1"/>
    <xf numFmtId="0" fontId="14" fillId="21" borderId="56" xfId="5" applyFont="1" applyFill="1" applyBorder="1"/>
    <xf numFmtId="9" fontId="15" fillId="21" borderId="57" xfId="6" applyFont="1" applyFill="1" applyBorder="1"/>
    <xf numFmtId="0" fontId="14" fillId="21" borderId="36" xfId="5" applyFont="1" applyFill="1" applyBorder="1"/>
    <xf numFmtId="9" fontId="15" fillId="21" borderId="57" xfId="5" applyNumberFormat="1" applyFont="1" applyFill="1" applyBorder="1"/>
    <xf numFmtId="0" fontId="33" fillId="5" borderId="25" xfId="5" applyFont="1" applyFill="1" applyBorder="1"/>
    <xf numFmtId="0" fontId="36" fillId="2" borderId="1" xfId="5" applyFont="1" applyFill="1"/>
    <xf numFmtId="0" fontId="15" fillId="21" borderId="19" xfId="5" applyFont="1" applyFill="1" applyBorder="1"/>
    <xf numFmtId="0" fontId="33" fillId="5" borderId="50" xfId="5" applyFont="1" applyFill="1" applyBorder="1"/>
    <xf numFmtId="9" fontId="15" fillId="22" borderId="7" xfId="6" applyFont="1" applyFill="1" applyBorder="1" applyAlignment="1">
      <alignment horizontal="left" vertical="center"/>
    </xf>
    <xf numFmtId="0" fontId="32" fillId="5" borderId="1" xfId="5" applyFont="1" applyFill="1"/>
    <xf numFmtId="0" fontId="33" fillId="5" borderId="26" xfId="5" applyFont="1" applyFill="1" applyBorder="1"/>
    <xf numFmtId="1" fontId="14" fillId="23" borderId="25" xfId="5" applyNumberFormat="1" applyFont="1" applyFill="1" applyBorder="1" applyAlignment="1">
      <alignment horizontal="right" wrapText="1"/>
    </xf>
    <xf numFmtId="166" fontId="15" fillId="22" borderId="18" xfId="5" applyNumberFormat="1" applyFont="1" applyFill="1" applyBorder="1" applyAlignment="1">
      <alignment horizontal="left" vertical="center"/>
    </xf>
    <xf numFmtId="166" fontId="15" fillId="22" borderId="7" xfId="5" applyNumberFormat="1" applyFont="1" applyFill="1" applyBorder="1" applyAlignment="1">
      <alignment horizontal="left" vertical="center"/>
    </xf>
    <xf numFmtId="166" fontId="15" fillId="22" borderId="19" xfId="5" applyNumberFormat="1" applyFont="1" applyFill="1" applyBorder="1" applyAlignment="1">
      <alignment horizontal="left" vertical="center"/>
    </xf>
    <xf numFmtId="166" fontId="15" fillId="22" borderId="9" xfId="5" applyNumberFormat="1" applyFont="1" applyFill="1" applyBorder="1" applyAlignment="1">
      <alignment horizontal="left" vertical="center"/>
    </xf>
    <xf numFmtId="166" fontId="15" fillId="22" borderId="42" xfId="5" applyNumberFormat="1" applyFont="1" applyFill="1" applyBorder="1" applyAlignment="1">
      <alignment horizontal="left" vertical="center"/>
    </xf>
    <xf numFmtId="166" fontId="15" fillId="22" borderId="51" xfId="5" applyNumberFormat="1" applyFont="1" applyFill="1" applyBorder="1" applyAlignment="1">
      <alignment horizontal="left" vertical="center"/>
    </xf>
    <xf numFmtId="166" fontId="15" fillId="22" borderId="20" xfId="5" applyNumberFormat="1" applyFont="1" applyFill="1" applyBorder="1" applyAlignment="1">
      <alignment horizontal="left" vertical="center"/>
    </xf>
    <xf numFmtId="166" fontId="15" fillId="22" borderId="11" xfId="5" applyNumberFormat="1" applyFont="1" applyFill="1" applyBorder="1" applyAlignment="1">
      <alignment horizontal="left" vertical="center"/>
    </xf>
    <xf numFmtId="167" fontId="14" fillId="23" borderId="23" xfId="5" applyNumberFormat="1" applyFont="1" applyFill="1" applyBorder="1" applyAlignment="1">
      <alignment vertical="center"/>
    </xf>
    <xf numFmtId="167" fontId="14" fillId="23" borderId="52" xfId="5" applyNumberFormat="1" applyFont="1" applyFill="1" applyBorder="1" applyAlignment="1">
      <alignment vertical="center"/>
    </xf>
    <xf numFmtId="1" fontId="14" fillId="24" borderId="15" xfId="5" applyNumberFormat="1" applyFont="1" applyFill="1" applyBorder="1" applyAlignment="1">
      <alignment horizontal="right"/>
    </xf>
    <xf numFmtId="1" fontId="14" fillId="24" borderId="25" xfId="5" applyNumberFormat="1" applyFont="1" applyFill="1" applyBorder="1" applyAlignment="1">
      <alignment horizontal="right"/>
    </xf>
    <xf numFmtId="0" fontId="15" fillId="22" borderId="1" xfId="5" applyFont="1" applyFill="1"/>
    <xf numFmtId="166" fontId="15" fillId="22" borderId="1" xfId="5" applyNumberFormat="1" applyFont="1" applyFill="1" applyAlignment="1">
      <alignment horizontal="left" vertical="center"/>
    </xf>
    <xf numFmtId="9" fontId="15" fillId="22" borderId="1" xfId="5" applyNumberFormat="1" applyFont="1" applyFill="1" applyAlignment="1">
      <alignment vertical="center"/>
    </xf>
    <xf numFmtId="0" fontId="3" fillId="4" borderId="53" xfId="5" applyFont="1" applyFill="1" applyBorder="1" applyAlignment="1">
      <alignment wrapText="1"/>
    </xf>
    <xf numFmtId="0" fontId="33" fillId="5" borderId="1" xfId="5" applyFont="1" applyFill="1"/>
    <xf numFmtId="0" fontId="14" fillId="20" borderId="3" xfId="5" applyFont="1" applyFill="1" applyBorder="1"/>
    <xf numFmtId="0" fontId="14" fillId="20" borderId="4" xfId="5" applyFont="1" applyFill="1" applyBorder="1" applyAlignment="1">
      <alignment horizontal="left"/>
    </xf>
    <xf numFmtId="0" fontId="12" fillId="2" borderId="1" xfId="0" applyFont="1" applyFill="1" applyBorder="1" applyAlignment="1">
      <alignment vertical="top"/>
    </xf>
    <xf numFmtId="0" fontId="30" fillId="2" borderId="1" xfId="5" applyFont="1" applyFill="1" applyAlignment="1">
      <alignment horizontal="center" vertical="top"/>
    </xf>
    <xf numFmtId="0" fontId="7" fillId="7" borderId="47" xfId="0" applyFont="1" applyFill="1" applyBorder="1"/>
    <xf numFmtId="0" fontId="20" fillId="5" borderId="18" xfId="0" applyFont="1" applyFill="1" applyBorder="1"/>
    <xf numFmtId="0" fontId="20" fillId="2" borderId="37" xfId="0" applyFont="1" applyFill="1" applyBorder="1"/>
    <xf numFmtId="165" fontId="19" fillId="13" borderId="15" xfId="1" applyNumberFormat="1" applyFont="1" applyFill="1" applyBorder="1" applyAlignment="1">
      <alignment vertical="center"/>
    </xf>
    <xf numFmtId="170" fontId="17" fillId="10" borderId="18" xfId="0" applyNumberFormat="1" applyFont="1" applyFill="1" applyBorder="1" applyAlignment="1">
      <alignment horizontal="right" vertical="center"/>
    </xf>
    <xf numFmtId="9" fontId="2" fillId="5" borderId="0" xfId="2" applyFont="1" applyFill="1"/>
    <xf numFmtId="9" fontId="22" fillId="14" borderId="25" xfId="2" applyFont="1" applyFill="1" applyBorder="1" applyAlignment="1">
      <alignment horizontal="right" vertical="center" wrapText="1"/>
    </xf>
    <xf numFmtId="9" fontId="20" fillId="0" borderId="18" xfId="2" quotePrefix="1" applyFont="1" applyBorder="1"/>
    <xf numFmtId="9" fontId="20" fillId="10" borderId="33" xfId="2" quotePrefix="1" applyFont="1" applyFill="1" applyBorder="1"/>
    <xf numFmtId="9" fontId="20" fillId="10" borderId="49" xfId="2" quotePrefix="1" applyFont="1" applyFill="1" applyBorder="1"/>
    <xf numFmtId="9" fontId="20" fillId="10" borderId="49" xfId="2" applyFont="1" applyFill="1" applyBorder="1"/>
    <xf numFmtId="9" fontId="7" fillId="14" borderId="25" xfId="2" applyFont="1" applyFill="1" applyBorder="1"/>
    <xf numFmtId="9" fontId="2" fillId="2" borderId="34" xfId="2" applyFont="1" applyFill="1" applyBorder="1"/>
    <xf numFmtId="0" fontId="2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right" vertical="center"/>
    </xf>
    <xf numFmtId="0" fontId="19" fillId="13" borderId="1" xfId="0" applyFont="1" applyFill="1" applyBorder="1" applyAlignment="1">
      <alignment vertical="center"/>
    </xf>
    <xf numFmtId="165" fontId="19" fillId="13" borderId="1" xfId="0" applyNumberFormat="1" applyFont="1" applyFill="1" applyBorder="1" applyAlignment="1">
      <alignment horizontal="left" vertical="center"/>
    </xf>
    <xf numFmtId="165" fontId="1" fillId="2" borderId="1" xfId="0" applyNumberFormat="1" applyFont="1" applyFill="1" applyBorder="1" applyAlignment="1">
      <alignment horizontal="left" vertical="center"/>
    </xf>
    <xf numFmtId="165" fontId="2" fillId="2" borderId="1" xfId="0" applyNumberFormat="1" applyFont="1" applyFill="1" applyBorder="1"/>
    <xf numFmtId="0" fontId="31" fillId="2" borderId="1" xfId="0" applyFont="1" applyFill="1" applyBorder="1"/>
    <xf numFmtId="0" fontId="27" fillId="2" borderId="1" xfId="0" applyFont="1" applyFill="1" applyBorder="1" applyAlignment="1">
      <alignment vertical="center"/>
    </xf>
    <xf numFmtId="0" fontId="19" fillId="8" borderId="1" xfId="0" applyFont="1" applyFill="1" applyBorder="1" applyAlignment="1">
      <alignment horizontal="right" vertical="center"/>
    </xf>
    <xf numFmtId="0" fontId="19" fillId="8" borderId="1" xfId="0" applyFont="1" applyFill="1" applyBorder="1" applyAlignment="1">
      <alignment vertical="center"/>
    </xf>
    <xf numFmtId="165" fontId="19" fillId="8" borderId="1" xfId="0" applyNumberFormat="1" applyFont="1" applyFill="1" applyBorder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37" fillId="2" borderId="1" xfId="0" applyFont="1" applyFill="1" applyBorder="1" applyAlignment="1">
      <alignment vertical="top"/>
    </xf>
    <xf numFmtId="0" fontId="20" fillId="10" borderId="42" xfId="0" applyFont="1" applyFill="1" applyBorder="1"/>
    <xf numFmtId="0" fontId="20" fillId="10" borderId="42" xfId="0" applyFont="1" applyFill="1" applyBorder="1" applyAlignment="1">
      <alignment horizontal="right"/>
    </xf>
    <xf numFmtId="0" fontId="20" fillId="10" borderId="59" xfId="0" applyFont="1" applyFill="1" applyBorder="1"/>
    <xf numFmtId="43" fontId="2" fillId="5" borderId="0" xfId="1" applyFont="1" applyFill="1"/>
    <xf numFmtId="43" fontId="22" fillId="14" borderId="25" xfId="1" applyFont="1" applyFill="1" applyBorder="1" applyAlignment="1">
      <alignment horizontal="right" vertical="center" wrapText="1"/>
    </xf>
    <xf numFmtId="43" fontId="20" fillId="0" borderId="18" xfId="1" quotePrefix="1" applyFont="1" applyBorder="1"/>
    <xf numFmtId="43" fontId="2" fillId="2" borderId="1" xfId="1" applyFont="1" applyFill="1" applyBorder="1"/>
    <xf numFmtId="165" fontId="2" fillId="5" borderId="0" xfId="1" applyNumberFormat="1" applyFont="1" applyFill="1"/>
    <xf numFmtId="165" fontId="22" fillId="14" borderId="25" xfId="1" applyNumberFormat="1" applyFont="1" applyFill="1" applyBorder="1" applyAlignment="1">
      <alignment horizontal="right" vertical="center" wrapText="1"/>
    </xf>
    <xf numFmtId="165" fontId="20" fillId="0" borderId="18" xfId="1" quotePrefix="1" applyNumberFormat="1" applyFont="1" applyBorder="1"/>
    <xf numFmtId="165" fontId="2" fillId="2" borderId="1" xfId="1" applyNumberFormat="1" applyFont="1" applyFill="1" applyBorder="1"/>
    <xf numFmtId="43" fontId="22" fillId="14" borderId="26" xfId="1" applyFont="1" applyFill="1" applyBorder="1" applyAlignment="1">
      <alignment horizontal="right" vertical="center" wrapText="1"/>
    </xf>
    <xf numFmtId="43" fontId="20" fillId="0" borderId="7" xfId="1" quotePrefix="1" applyFont="1" applyBorder="1"/>
    <xf numFmtId="0" fontId="15" fillId="2" borderId="1" xfId="0" applyFont="1" applyFill="1" applyBorder="1" applyAlignment="1">
      <alignment horizontal="right"/>
    </xf>
    <xf numFmtId="43" fontId="20" fillId="11" borderId="19" xfId="1" applyFont="1" applyFill="1" applyBorder="1"/>
    <xf numFmtId="0" fontId="18" fillId="12" borderId="8" xfId="0" applyFont="1" applyFill="1" applyBorder="1" applyAlignment="1">
      <alignment vertical="center"/>
    </xf>
    <xf numFmtId="14" fontId="18" fillId="12" borderId="10" xfId="0" applyNumberFormat="1" applyFont="1" applyFill="1" applyBorder="1"/>
    <xf numFmtId="0" fontId="18" fillId="10" borderId="10" xfId="0" applyFont="1" applyFill="1" applyBorder="1" applyAlignment="1">
      <alignment horizontal="left"/>
    </xf>
    <xf numFmtId="9" fontId="2" fillId="2" borderId="1" xfId="6" applyFont="1" applyFill="1" applyBorder="1"/>
    <xf numFmtId="0" fontId="17" fillId="10" borderId="20" xfId="0" applyFont="1" applyFill="1" applyBorder="1" applyAlignment="1">
      <alignment vertical="center"/>
    </xf>
    <xf numFmtId="0" fontId="22" fillId="7" borderId="12" xfId="0" applyFont="1" applyFill="1" applyBorder="1" applyAlignment="1">
      <alignment vertical="center"/>
    </xf>
    <xf numFmtId="0" fontId="22" fillId="7" borderId="21" xfId="0" applyFont="1" applyFill="1" applyBorder="1" applyAlignment="1">
      <alignment vertical="center"/>
    </xf>
    <xf numFmtId="0" fontId="22" fillId="7" borderId="21" xfId="0" applyFont="1" applyFill="1" applyBorder="1" applyAlignment="1">
      <alignment vertical="center" wrapText="1"/>
    </xf>
    <xf numFmtId="0" fontId="22" fillId="7" borderId="13" xfId="0" applyFont="1" applyFill="1" applyBorder="1" applyAlignment="1">
      <alignment vertical="center" wrapText="1"/>
    </xf>
    <xf numFmtId="0" fontId="18" fillId="2" borderId="8" xfId="0" applyFont="1" applyFill="1" applyBorder="1" applyAlignment="1">
      <alignment vertical="center"/>
    </xf>
    <xf numFmtId="3" fontId="15" fillId="2" borderId="18" xfId="0" applyNumberFormat="1" applyFont="1" applyFill="1" applyBorder="1" applyAlignment="1">
      <alignment horizontal="right" vertical="center"/>
    </xf>
    <xf numFmtId="0" fontId="17" fillId="2" borderId="19" xfId="0" applyFont="1" applyFill="1" applyBorder="1" applyAlignment="1">
      <alignment vertical="center"/>
    </xf>
    <xf numFmtId="3" fontId="17" fillId="2" borderId="18" xfId="0" applyNumberFormat="1" applyFont="1" applyFill="1" applyBorder="1" applyAlignment="1">
      <alignment horizontal="left" vertical="center"/>
    </xf>
    <xf numFmtId="166" fontId="15" fillId="2" borderId="7" xfId="0" applyNumberFormat="1" applyFont="1" applyFill="1" applyBorder="1" applyAlignment="1">
      <alignment horizontal="left" vertical="center"/>
    </xf>
    <xf numFmtId="0" fontId="17" fillId="2" borderId="20" xfId="0" applyFont="1" applyFill="1" applyBorder="1" applyAlignment="1">
      <alignment vertical="center"/>
    </xf>
    <xf numFmtId="165" fontId="19" fillId="8" borderId="1" xfId="0" applyNumberFormat="1" applyFont="1" applyFill="1" applyBorder="1" applyAlignment="1">
      <alignment horizontal="left" vertical="center"/>
    </xf>
    <xf numFmtId="0" fontId="3" fillId="25" borderId="15" xfId="0" applyFont="1" applyFill="1" applyBorder="1" applyAlignment="1">
      <alignment vertical="center"/>
    </xf>
    <xf numFmtId="0" fontId="3" fillId="25" borderId="4" xfId="0" applyFont="1" applyFill="1" applyBorder="1" applyAlignment="1">
      <alignment horizontal="left" vertical="center"/>
    </xf>
    <xf numFmtId="0" fontId="39" fillId="2" borderId="1" xfId="0" applyFont="1" applyFill="1" applyBorder="1" applyAlignment="1">
      <alignment horizontal="center" vertical="top"/>
    </xf>
    <xf numFmtId="0" fontId="41" fillId="26" borderId="22" xfId="0" applyFont="1" applyFill="1" applyBorder="1"/>
    <xf numFmtId="1" fontId="41" fillId="26" borderId="25" xfId="0" applyNumberFormat="1" applyFont="1" applyFill="1" applyBorder="1" applyAlignment="1">
      <alignment horizontal="right" wrapText="1"/>
    </xf>
    <xf numFmtId="1" fontId="41" fillId="26" borderId="23" xfId="0" applyNumberFormat="1" applyFont="1" applyFill="1" applyBorder="1" applyAlignment="1">
      <alignment horizontal="right" wrapText="1"/>
    </xf>
    <xf numFmtId="0" fontId="41" fillId="27" borderId="22" xfId="0" applyFont="1" applyFill="1" applyBorder="1" applyAlignment="1">
      <alignment vertical="center" wrapText="1"/>
    </xf>
    <xf numFmtId="167" fontId="41" fillId="27" borderId="23" xfId="0" applyNumberFormat="1" applyFont="1" applyFill="1" applyBorder="1" applyAlignment="1">
      <alignment vertical="center"/>
    </xf>
    <xf numFmtId="0" fontId="41" fillId="26" borderId="24" xfId="0" applyFont="1" applyFill="1" applyBorder="1"/>
    <xf numFmtId="0" fontId="43" fillId="28" borderId="22" xfId="5" applyFont="1" applyFill="1" applyBorder="1" applyAlignment="1">
      <alignment vertical="center" wrapText="1"/>
    </xf>
    <xf numFmtId="167" fontId="43" fillId="28" borderId="23" xfId="5" applyNumberFormat="1" applyFont="1" applyFill="1" applyBorder="1" applyAlignment="1">
      <alignment vertical="center"/>
    </xf>
    <xf numFmtId="0" fontId="43" fillId="28" borderId="22" xfId="5" applyFont="1" applyFill="1" applyBorder="1"/>
    <xf numFmtId="1" fontId="43" fillId="28" borderId="25" xfId="5" applyNumberFormat="1" applyFont="1" applyFill="1" applyBorder="1" applyAlignment="1">
      <alignment horizontal="right" wrapText="1"/>
    </xf>
    <xf numFmtId="0" fontId="43" fillId="28" borderId="24" xfId="5" applyFont="1" applyFill="1" applyBorder="1"/>
    <xf numFmtId="0" fontId="18" fillId="30" borderId="60" xfId="0" applyFont="1" applyFill="1" applyBorder="1" applyAlignment="1">
      <alignment vertical="center"/>
    </xf>
    <xf numFmtId="0" fontId="39" fillId="2" borderId="1" xfId="0" applyFont="1" applyFill="1" applyBorder="1" applyAlignment="1">
      <alignment vertical="top"/>
    </xf>
    <xf numFmtId="0" fontId="39" fillId="2" borderId="1" xfId="0" applyFont="1" applyFill="1" applyBorder="1" applyAlignment="1">
      <alignment vertical="center"/>
    </xf>
    <xf numFmtId="9" fontId="20" fillId="11" borderId="42" xfId="0" applyNumberFormat="1" applyFont="1" applyFill="1" applyBorder="1"/>
    <xf numFmtId="9" fontId="20" fillId="11" borderId="44" xfId="0" applyNumberFormat="1" applyFont="1" applyFill="1" applyBorder="1"/>
    <xf numFmtId="9" fontId="20" fillId="11" borderId="19" xfId="2" applyFont="1" applyFill="1" applyBorder="1"/>
    <xf numFmtId="2" fontId="20" fillId="11" borderId="19" xfId="0" applyNumberFormat="1" applyFont="1" applyFill="1" applyBorder="1"/>
    <xf numFmtId="165" fontId="22" fillId="14" borderId="25" xfId="1" applyNumberFormat="1" applyFont="1" applyFill="1" applyBorder="1" applyAlignment="1">
      <alignment horizontal="right" vertical="center"/>
    </xf>
    <xf numFmtId="165" fontId="20" fillId="2" borderId="19" xfId="1" applyNumberFormat="1" applyFont="1" applyFill="1" applyBorder="1"/>
    <xf numFmtId="165" fontId="20" fillId="0" borderId="19" xfId="1" applyNumberFormat="1" applyFont="1" applyBorder="1"/>
    <xf numFmtId="165" fontId="20" fillId="2" borderId="20" xfId="1" applyNumberFormat="1" applyFont="1" applyFill="1" applyBorder="1"/>
    <xf numFmtId="43" fontId="20" fillId="2" borderId="19" xfId="1" applyFont="1" applyFill="1" applyBorder="1"/>
    <xf numFmtId="0" fontId="3" fillId="25" borderId="25" xfId="0" applyFont="1" applyFill="1" applyBorder="1" applyAlignment="1">
      <alignment vertical="center"/>
    </xf>
    <xf numFmtId="0" fontId="19" fillId="13" borderId="3" xfId="0" applyFont="1" applyFill="1" applyBorder="1" applyAlignment="1">
      <alignment horizontal="right" vertical="center"/>
    </xf>
    <xf numFmtId="0" fontId="19" fillId="13" borderId="15" xfId="0" applyFont="1" applyFill="1" applyBorder="1" applyAlignment="1">
      <alignment horizontal="right" vertical="center"/>
    </xf>
    <xf numFmtId="0" fontId="39" fillId="2" borderId="1" xfId="0" applyFont="1" applyFill="1" applyBorder="1" applyAlignment="1">
      <alignment horizontal="center" vertical="top"/>
    </xf>
    <xf numFmtId="0" fontId="3" fillId="25" borderId="14" xfId="0" applyFont="1" applyFill="1" applyBorder="1" applyAlignment="1">
      <alignment horizontal="left" vertical="center"/>
    </xf>
    <xf numFmtId="0" fontId="3" fillId="25" borderId="5" xfId="0" applyFont="1" applyFill="1" applyBorder="1" applyAlignment="1">
      <alignment horizontal="left" vertical="center"/>
    </xf>
    <xf numFmtId="0" fontId="3" fillId="25" borderId="3" xfId="0" applyFont="1" applyFill="1" applyBorder="1" applyAlignment="1">
      <alignment horizontal="left"/>
    </xf>
    <xf numFmtId="0" fontId="3" fillId="25" borderId="4" xfId="0" applyFont="1" applyFill="1" applyBorder="1" applyAlignment="1">
      <alignment horizontal="left"/>
    </xf>
    <xf numFmtId="0" fontId="3" fillId="25" borderId="3" xfId="0" applyFont="1" applyFill="1" applyBorder="1" applyAlignment="1">
      <alignment horizontal="left" vertical="center"/>
    </xf>
    <xf numFmtId="0" fontId="3" fillId="25" borderId="15" xfId="0" applyFont="1" applyFill="1" applyBorder="1" applyAlignment="1">
      <alignment horizontal="left" vertical="center"/>
    </xf>
    <xf numFmtId="0" fontId="3" fillId="25" borderId="27" xfId="0" applyFont="1" applyFill="1" applyBorder="1" applyAlignment="1">
      <alignment horizontal="center" vertical="center"/>
    </xf>
    <xf numFmtId="0" fontId="3" fillId="25" borderId="28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/>
    </xf>
    <xf numFmtId="0" fontId="3" fillId="25" borderId="24" xfId="0" applyFont="1" applyFill="1" applyBorder="1" applyAlignment="1">
      <alignment horizontal="center" vertical="center"/>
    </xf>
    <xf numFmtId="0" fontId="3" fillId="25" borderId="25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3" fillId="25" borderId="3" xfId="0" applyFont="1" applyFill="1" applyBorder="1" applyAlignment="1">
      <alignment horizontal="center" vertical="center"/>
    </xf>
    <xf numFmtId="0" fontId="3" fillId="25" borderId="15" xfId="0" applyFont="1" applyFill="1" applyBorder="1" applyAlignment="1">
      <alignment horizontal="center" vertical="center"/>
    </xf>
    <xf numFmtId="0" fontId="7" fillId="9" borderId="24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7" fillId="9" borderId="27" xfId="0" applyFont="1" applyFill="1" applyBorder="1" applyAlignment="1">
      <alignment horizontal="center" vertical="center"/>
    </xf>
    <xf numFmtId="0" fontId="7" fillId="9" borderId="29" xfId="0" applyFont="1" applyFill="1" applyBorder="1" applyAlignment="1">
      <alignment horizontal="center" vertical="center"/>
    </xf>
    <xf numFmtId="0" fontId="3" fillId="25" borderId="29" xfId="0" applyFont="1" applyFill="1" applyBorder="1" applyAlignment="1">
      <alignment horizontal="center" vertical="center"/>
    </xf>
    <xf numFmtId="0" fontId="39" fillId="2" borderId="1" xfId="5" applyFont="1" applyFill="1" applyAlignment="1">
      <alignment horizontal="center" vertical="top"/>
    </xf>
    <xf numFmtId="0" fontId="3" fillId="2" borderId="1" xfId="5" applyFont="1" applyFill="1" applyAlignment="1">
      <alignment horizontal="left" vertical="center"/>
    </xf>
    <xf numFmtId="0" fontId="33" fillId="0" borderId="1" xfId="5" applyFont="1" applyAlignment="1"/>
    <xf numFmtId="0" fontId="3" fillId="28" borderId="3" xfId="5" applyFont="1" applyFill="1" applyBorder="1" applyAlignment="1">
      <alignment horizontal="center" vertical="center"/>
    </xf>
    <xf numFmtId="0" fontId="3" fillId="28" borderId="15" xfId="5" applyFont="1" applyFill="1" applyBorder="1" applyAlignment="1">
      <alignment horizontal="center" vertical="center"/>
    </xf>
    <xf numFmtId="0" fontId="3" fillId="3" borderId="53" xfId="5" applyFont="1" applyFill="1" applyBorder="1" applyAlignment="1">
      <alignment horizontal="center" vertical="center"/>
    </xf>
    <xf numFmtId="0" fontId="3" fillId="3" borderId="54" xfId="5" applyFont="1" applyFill="1" applyBorder="1" applyAlignment="1">
      <alignment horizontal="center" vertical="center"/>
    </xf>
    <xf numFmtId="0" fontId="3" fillId="28" borderId="48" xfId="5" applyFont="1" applyFill="1" applyBorder="1" applyAlignment="1">
      <alignment horizontal="center" vertical="center"/>
    </xf>
    <xf numFmtId="0" fontId="3" fillId="28" borderId="1" xfId="5" applyFont="1" applyFill="1" applyAlignment="1">
      <alignment horizontal="center" vertical="center"/>
    </xf>
    <xf numFmtId="0" fontId="3" fillId="28" borderId="24" xfId="5" applyFont="1" applyFill="1" applyBorder="1" applyAlignment="1">
      <alignment horizontal="center" vertical="center"/>
    </xf>
    <xf numFmtId="0" fontId="42" fillId="29" borderId="26" xfId="5" applyFont="1" applyFill="1" applyBorder="1" applyAlignment="1"/>
    <xf numFmtId="0" fontId="14" fillId="20" borderId="30" xfId="5" applyFont="1" applyFill="1" applyBorder="1" applyAlignment="1">
      <alignment horizontal="left"/>
    </xf>
    <xf numFmtId="0" fontId="14" fillId="20" borderId="49" xfId="5" applyFont="1" applyFill="1" applyBorder="1" applyAlignment="1">
      <alignment horizontal="left"/>
    </xf>
    <xf numFmtId="0" fontId="15" fillId="21" borderId="30" xfId="5" applyFont="1" applyFill="1" applyBorder="1" applyAlignment="1">
      <alignment horizontal="left"/>
    </xf>
    <xf numFmtId="0" fontId="15" fillId="21" borderId="49" xfId="5" applyFont="1" applyFill="1" applyBorder="1" applyAlignment="1">
      <alignment horizontal="left"/>
    </xf>
    <xf numFmtId="0" fontId="3" fillId="28" borderId="3" xfId="5" applyFont="1" applyFill="1" applyBorder="1" applyAlignment="1">
      <alignment vertical="center"/>
    </xf>
    <xf numFmtId="0" fontId="3" fillId="28" borderId="15" xfId="5" applyFont="1" applyFill="1" applyBorder="1" applyAlignment="1">
      <alignment vertical="center"/>
    </xf>
    <xf numFmtId="0" fontId="22" fillId="14" borderId="50" xfId="0" applyFont="1" applyFill="1" applyBorder="1" applyAlignment="1">
      <alignment horizontal="center" vertical="center"/>
    </xf>
    <xf numFmtId="0" fontId="22" fillId="14" borderId="15" xfId="0" applyFont="1" applyFill="1" applyBorder="1" applyAlignment="1">
      <alignment horizontal="center" vertical="center"/>
    </xf>
    <xf numFmtId="0" fontId="22" fillId="14" borderId="58" xfId="0" applyFont="1" applyFill="1" applyBorder="1" applyAlignment="1">
      <alignment horizontal="center" vertical="center"/>
    </xf>
    <xf numFmtId="0" fontId="3" fillId="25" borderId="22" xfId="0" applyFont="1" applyFill="1" applyBorder="1" applyAlignment="1">
      <alignment horizontal="center" vertical="center"/>
    </xf>
    <xf numFmtId="0" fontId="3" fillId="25" borderId="23" xfId="0" applyFont="1" applyFill="1" applyBorder="1" applyAlignment="1">
      <alignment horizontal="center" vertical="center"/>
    </xf>
    <xf numFmtId="0" fontId="3" fillId="25" borderId="22" xfId="0" applyFont="1" applyFill="1" applyBorder="1" applyAlignment="1">
      <alignment horizontal="center"/>
    </xf>
    <xf numFmtId="0" fontId="3" fillId="25" borderId="23" xfId="0" applyFont="1" applyFill="1" applyBorder="1" applyAlignment="1">
      <alignment horizontal="center"/>
    </xf>
  </cellXfs>
  <cellStyles count="7">
    <cellStyle name="Komma" xfId="1" builtinId="3"/>
    <cellStyle name="Komma 2" xfId="3" xr:uid="{80EB8D95-F23B-4044-9F81-86DC9FBFE33F}"/>
    <cellStyle name="Procent" xfId="2" builtinId="5"/>
    <cellStyle name="Procent 2" xfId="6" xr:uid="{149188C1-BFD1-9B48-941D-070B7DA428CB}"/>
    <cellStyle name="Standaard" xfId="0" builtinId="0"/>
    <cellStyle name="Standaard 2" xfId="4" xr:uid="{BE3A4D3E-D8D0-4BA8-871F-14D469ACC9ED}"/>
    <cellStyle name="Standaard 3" xfId="5" xr:uid="{B54866B3-2232-C247-8A18-76751F1858B2}"/>
  </cellStyles>
  <dxfs count="15"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</dxfs>
  <tableStyles count="0" defaultTableStyle="TableStyleMedium2" defaultPivotStyle="PivotStyleLight16"/>
  <colors>
    <mruColors>
      <color rgb="FF224F92"/>
      <color rgb="FFF58930"/>
      <color rgb="FF6BBC93"/>
      <color rgb="FF7F7F7F"/>
      <color rgb="FF61B57D"/>
      <color rgb="FFE2EF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lvl="0">
              <a:defRPr sz="14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nl-NL" sz="1800" b="1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Figuur M2.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</a:t>
            </a:r>
            <a:r>
              <a:rPr lang="nl-NL" sz="1800" b="1" baseline="-25000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2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-footprint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lvl="0">
            <a:defRPr sz="1400" b="0" i="0" u="none" strike="noStrike" kern="120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9209965660767225"/>
          <c:y val="0.1871146106736658"/>
          <c:w val="0.35673526420708201"/>
          <c:h val="0.74645895069567914"/>
        </c:manualLayout>
      </c:layout>
      <c:doughnutChart>
        <c:varyColors val="1"/>
        <c:ser>
          <c:idx val="0"/>
          <c:order val="0"/>
          <c:tx>
            <c:strRef>
              <c:f>'CO2-emissie-inventaris'!$J$47:$J$48</c:f>
              <c:strCache>
                <c:ptCount val="2"/>
                <c:pt idx="0">
                  <c:v>Tabel M2A. Input voor samenvattend figuur CO2-footprint</c:v>
                </c:pt>
                <c:pt idx="1">
                  <c:v>Emissies
(ton CO2)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6C-4115-9B70-F4756F941F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6C-4115-9B70-F4756F941F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6C-4115-9B70-F4756F941F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6C-4115-9B70-F4756F941F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6C-4115-9B70-F4756F941F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6C-4115-9B70-F4756F941F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6C-4115-9B70-F4756F941F0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B0F-B845-8428-99E0274E69A5}"/>
              </c:ext>
            </c:extLst>
          </c:dPt>
          <c:dLbls>
            <c:dLbl>
              <c:idx val="4"/>
              <c:layout>
                <c:manualLayout>
                  <c:x val="2.3605783416936715E-3"/>
                  <c:y val="-5.28301886792452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C-4115-9B70-F4756F941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'CO2-emissie-inventaris'!$I$49:$I$56</c:f>
              <c:strCache>
                <c:ptCount val="8"/>
                <c:pt idx="0">
                  <c:v>Aardgasverbruik</c:v>
                </c:pt>
                <c:pt idx="1">
                  <c:v>Brandstofverbruik bedrijfsmiddelen</c:v>
                </c:pt>
                <c:pt idx="2">
                  <c:v>Brandstofverbruik wagenpark</c:v>
                </c:pt>
                <c:pt idx="3">
                  <c:v>Elektriciteitsverbruik vastgoed</c:v>
                </c:pt>
                <c:pt idx="4">
                  <c:v>Elektriciteitsverbruik wagenpark</c:v>
                </c:pt>
                <c:pt idx="5">
                  <c:v>Warmtelevering</c:v>
                </c:pt>
                <c:pt idx="6">
                  <c:v>Zakelijk vervoer</c:v>
                </c:pt>
                <c:pt idx="7">
                  <c:v>Vliegreizen</c:v>
                </c:pt>
              </c:strCache>
            </c:strRef>
          </c:cat>
          <c:val>
            <c:numRef>
              <c:f>'CO2-emissie-inventaris'!$J$49:$J$56</c:f>
              <c:numCache>
                <c:formatCode>_(* #,##0.00_);_(* \(#,##0.00\);_(* "-"??_);_(@_)</c:formatCode>
                <c:ptCount val="8"/>
                <c:pt idx="0">
                  <c:v>3290.0987249999998</c:v>
                </c:pt>
                <c:pt idx="1">
                  <c:v>99.034320000000008</c:v>
                </c:pt>
                <c:pt idx="2">
                  <c:v>86.053439999999995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54.256160000000001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6C-4115-9B70-F4756F941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lvl="0">
            <a:defRPr sz="1100" b="0" i="0" u="none" strike="noStrike" kern="120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showDLblsOverMax val="1"/>
  </c:chart>
  <c:spPr>
    <a:solidFill>
      <a:schemeClr val="lt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EV2.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energieverbruik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'Omrekening naar GJ'!$I$58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GJ'!$J$56:$M$56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GJ'!$J$58:$M$58</c:f>
              <c:numCache>
                <c:formatCode>0%</c:formatCode>
                <c:ptCount val="4"/>
                <c:pt idx="0">
                  <c:v>1</c:v>
                </c:pt>
                <c:pt idx="1">
                  <c:v>1.285404930891406</c:v>
                </c:pt>
                <c:pt idx="2">
                  <c:v>1.4385362639102506</c:v>
                </c:pt>
                <c:pt idx="3">
                  <c:v>1.4239368848750629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E-284C-AC7C-A4FE1042E2E2}"/>
            </c:ext>
          </c:extLst>
        </c:ser>
        <c:ser>
          <c:idx val="1"/>
          <c:order val="1"/>
          <c:tx>
            <c:strRef>
              <c:f>'Omrekening naar GJ'!$I$59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GJ'!$J$56:$M$56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GJ'!$J$59:$M$59</c:f>
              <c:numCache>
                <c:formatCode>0%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E-284C-AC7C-A4FE1042E2E2}"/>
            </c:ext>
          </c:extLst>
        </c:ser>
        <c:ser>
          <c:idx val="2"/>
          <c:order val="2"/>
          <c:tx>
            <c:strRef>
              <c:f>'Omrekening naar GJ'!$I$62</c:f>
              <c:strCache>
                <c:ptCount val="1"/>
                <c:pt idx="0">
                  <c:v>Relatieve voortgang verpompt afvalwater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GJ'!$J$56:$M$56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GJ'!$J$62:$M$62</c:f>
              <c:numCache>
                <c:formatCode>0%</c:formatCode>
                <c:ptCount val="4"/>
                <c:pt idx="0">
                  <c:v>1</c:v>
                </c:pt>
                <c:pt idx="1">
                  <c:v>1.2247444929598466</c:v>
                </c:pt>
                <c:pt idx="2">
                  <c:v>1.4017634845828171</c:v>
                </c:pt>
                <c:pt idx="3">
                  <c:v>1.595403286236674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3E-284C-AC7C-A4FE1042E2E2}"/>
            </c:ext>
          </c:extLst>
        </c:ser>
        <c:ser>
          <c:idx val="3"/>
          <c:order val="3"/>
          <c:tx>
            <c:strRef>
              <c:f>'Omrekening naar GJ'!$I$65</c:f>
              <c:strCache>
                <c:ptCount val="1"/>
                <c:pt idx="0">
                  <c:v>Relatieve voortgang FTE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GJ'!$J$56:$M$56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GJ'!$J$65:$M$65</c:f>
            </c:numRef>
          </c:val>
          <c:smooth val="0"/>
          <c:extLst>
            <c:ext xmlns:c16="http://schemas.microsoft.com/office/drawing/2014/chart" uri="{C3380CC4-5D6E-409C-BE32-E72D297353CC}">
              <c16:uniqueId val="{00000004-E03E-284C-AC7C-A4FE1042E2E2}"/>
            </c:ext>
          </c:extLst>
        </c:ser>
        <c:ser>
          <c:idx val="4"/>
          <c:order val="4"/>
          <c:tx>
            <c:strRef>
              <c:f>'Omrekening naar GJ'!$I$68</c:f>
              <c:strCache>
                <c:ptCount val="1"/>
                <c:pt idx="0">
                  <c:v>Relatieve voortgang gereden kilometers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GJ'!$J$56:$M$56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GJ'!$J$68:$M$68</c:f>
            </c:numRef>
          </c:val>
          <c:smooth val="0"/>
          <c:extLst>
            <c:ext xmlns:c16="http://schemas.microsoft.com/office/drawing/2014/chart" uri="{C3380CC4-5D6E-409C-BE32-E72D297353CC}">
              <c16:uniqueId val="{00000005-E03E-284C-AC7C-A4FE1042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000" b="1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000" b="1" baseline="0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</a:t>
            </a:r>
            <a:r>
              <a:rPr lang="nl-NL" sz="1000" baseline="0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. </a:t>
            </a:r>
            <a:r>
              <a:rPr lang="nl-NL" sz="10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Aardgasverbruik per vestiging</a:t>
            </a:r>
            <a:endParaRPr lang="nl-NL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Energiebeoordelingen!$C$5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Energiebeoordelingen!$B$7:$B$16</c:f>
              <c:strCache>
                <c:ptCount val="10"/>
                <c:pt idx="0">
                  <c:v>Nieuwe Waterweg</c:v>
                </c:pt>
                <c:pt idx="1">
                  <c:v>Houtrust</c:v>
                </c:pt>
                <c:pt idx="2">
                  <c:v>Groote Lucht</c:v>
                </c:pt>
                <c:pt idx="3">
                  <c:v>Harnaschpolder</c:v>
                </c:pt>
                <c:pt idx="4">
                  <c:v>Watersystemen</c:v>
                </c:pt>
                <c:pt idx="5">
                  <c:v>Facilitair</c:v>
                </c:pt>
                <c:pt idx="6">
                  <c:v>GR Slibverwerking 2009</c:v>
                </c:pt>
                <c:pt idx="7">
                  <c:v>GR RBG</c:v>
                </c:pt>
                <c:pt idx="8">
                  <c:v>GR AQUON</c:v>
                </c:pt>
                <c:pt idx="9">
                  <c:v>GR AquaMinerals</c:v>
                </c:pt>
              </c:strCache>
            </c:strRef>
          </c:cat>
          <c:val>
            <c:numRef>
              <c:f>Energiebeoordelingen!$C$7:$C$16</c:f>
              <c:numCache>
                <c:formatCode>#,##0</c:formatCode>
                <c:ptCount val="10"/>
                <c:pt idx="0">
                  <c:v>2662</c:v>
                </c:pt>
                <c:pt idx="1">
                  <c:v>9335</c:v>
                </c:pt>
                <c:pt idx="2">
                  <c:v>423364</c:v>
                </c:pt>
                <c:pt idx="3">
                  <c:v>327133</c:v>
                </c:pt>
                <c:pt idx="4">
                  <c:v>32036</c:v>
                </c:pt>
                <c:pt idx="5">
                  <c:v>55816</c:v>
                </c:pt>
                <c:pt idx="6">
                  <c:v>56656</c:v>
                </c:pt>
                <c:pt idx="7">
                  <c:v>3913.0519999999997</c:v>
                </c:pt>
                <c:pt idx="8">
                  <c:v>13457.973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855-4A46-824A-F20FB89355B0}"/>
            </c:ext>
          </c:extLst>
        </c:ser>
        <c:ser>
          <c:idx val="2"/>
          <c:order val="1"/>
          <c:tx>
            <c:strRef>
              <c:f>Energiebeoordelingen!$D$5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Energiebeoordelingen!$B$7:$B$16</c:f>
              <c:strCache>
                <c:ptCount val="10"/>
                <c:pt idx="0">
                  <c:v>Nieuwe Waterweg</c:v>
                </c:pt>
                <c:pt idx="1">
                  <c:v>Houtrust</c:v>
                </c:pt>
                <c:pt idx="2">
                  <c:v>Groote Lucht</c:v>
                </c:pt>
                <c:pt idx="3">
                  <c:v>Harnaschpolder</c:v>
                </c:pt>
                <c:pt idx="4">
                  <c:v>Watersystemen</c:v>
                </c:pt>
                <c:pt idx="5">
                  <c:v>Facilitair</c:v>
                </c:pt>
                <c:pt idx="6">
                  <c:v>GR Slibverwerking 2009</c:v>
                </c:pt>
                <c:pt idx="7">
                  <c:v>GR RBG</c:v>
                </c:pt>
                <c:pt idx="8">
                  <c:v>GR AQUON</c:v>
                </c:pt>
                <c:pt idx="9">
                  <c:v>GR AquaMinerals</c:v>
                </c:pt>
              </c:strCache>
            </c:strRef>
          </c:cat>
          <c:val>
            <c:numRef>
              <c:f>Energiebeoordelingen!$D$7:$D$16</c:f>
              <c:numCache>
                <c:formatCode>#,##0</c:formatCode>
                <c:ptCount val="10"/>
                <c:pt idx="0">
                  <c:v>11050</c:v>
                </c:pt>
                <c:pt idx="1">
                  <c:v>40029</c:v>
                </c:pt>
                <c:pt idx="2">
                  <c:v>447554</c:v>
                </c:pt>
                <c:pt idx="3">
                  <c:v>924165</c:v>
                </c:pt>
                <c:pt idx="4">
                  <c:v>19840</c:v>
                </c:pt>
                <c:pt idx="5">
                  <c:v>58378</c:v>
                </c:pt>
                <c:pt idx="6">
                  <c:v>64429</c:v>
                </c:pt>
                <c:pt idx="7">
                  <c:v>3813.2379999999998</c:v>
                </c:pt>
                <c:pt idx="8">
                  <c:v>15838.368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855-4A46-824A-F20FB89355B0}"/>
            </c:ext>
          </c:extLst>
        </c:ser>
        <c:ser>
          <c:idx val="3"/>
          <c:order val="2"/>
          <c:tx>
            <c:strRef>
              <c:f>Energiebeoordelingen!$E$5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Energiebeoordelingen!$B$7:$B$16</c:f>
              <c:strCache>
                <c:ptCount val="10"/>
                <c:pt idx="0">
                  <c:v>Nieuwe Waterweg</c:v>
                </c:pt>
                <c:pt idx="1">
                  <c:v>Houtrust</c:v>
                </c:pt>
                <c:pt idx="2">
                  <c:v>Groote Lucht</c:v>
                </c:pt>
                <c:pt idx="3">
                  <c:v>Harnaschpolder</c:v>
                </c:pt>
                <c:pt idx="4">
                  <c:v>Watersystemen</c:v>
                </c:pt>
                <c:pt idx="5">
                  <c:v>Facilitair</c:v>
                </c:pt>
                <c:pt idx="6">
                  <c:v>GR Slibverwerking 2009</c:v>
                </c:pt>
                <c:pt idx="7">
                  <c:v>GR RBG</c:v>
                </c:pt>
                <c:pt idx="8">
                  <c:v>GR AQUON</c:v>
                </c:pt>
                <c:pt idx="9">
                  <c:v>GR AquaMinerals</c:v>
                </c:pt>
              </c:strCache>
            </c:strRef>
          </c:cat>
          <c:val>
            <c:numRef>
              <c:f>Energiebeoordelingen!$E$7:$E$16</c:f>
              <c:numCache>
                <c:formatCode>#,##0</c:formatCode>
                <c:ptCount val="10"/>
                <c:pt idx="0">
                  <c:v>10389</c:v>
                </c:pt>
                <c:pt idx="1">
                  <c:v>482075</c:v>
                </c:pt>
                <c:pt idx="2">
                  <c:v>421887</c:v>
                </c:pt>
                <c:pt idx="3">
                  <c:v>1028829</c:v>
                </c:pt>
                <c:pt idx="4">
                  <c:v>16562</c:v>
                </c:pt>
                <c:pt idx="5">
                  <c:v>80318</c:v>
                </c:pt>
                <c:pt idx="6">
                  <c:v>37791</c:v>
                </c:pt>
                <c:pt idx="7">
                  <c:v>3951.0899999999997</c:v>
                </c:pt>
                <c:pt idx="8">
                  <c:v>17889.87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855-4A46-824A-F20FB89355B0}"/>
            </c:ext>
          </c:extLst>
        </c:ser>
        <c:ser>
          <c:idx val="4"/>
          <c:order val="3"/>
          <c:tx>
            <c:strRef>
              <c:f>Energiebeoordelingen!$F$5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Energiebeoordelingen!$B$7:$B$16</c:f>
              <c:strCache>
                <c:ptCount val="10"/>
                <c:pt idx="0">
                  <c:v>Nieuwe Waterweg</c:v>
                </c:pt>
                <c:pt idx="1">
                  <c:v>Houtrust</c:v>
                </c:pt>
                <c:pt idx="2">
                  <c:v>Groote Lucht</c:v>
                </c:pt>
                <c:pt idx="3">
                  <c:v>Harnaschpolder</c:v>
                </c:pt>
                <c:pt idx="4">
                  <c:v>Watersystemen</c:v>
                </c:pt>
                <c:pt idx="5">
                  <c:v>Facilitair</c:v>
                </c:pt>
                <c:pt idx="6">
                  <c:v>GR Slibverwerking 2009</c:v>
                </c:pt>
                <c:pt idx="7">
                  <c:v>GR RBG</c:v>
                </c:pt>
                <c:pt idx="8">
                  <c:v>GR AQUON</c:v>
                </c:pt>
                <c:pt idx="9">
                  <c:v>GR AquaMinerals</c:v>
                </c:pt>
              </c:strCache>
            </c:strRef>
          </c:cat>
          <c:val>
            <c:numRef>
              <c:f>Energiebeoordelingen!$F$7:$F$16</c:f>
              <c:numCache>
                <c:formatCode>#,##0</c:formatCode>
                <c:ptCount val="10"/>
                <c:pt idx="0">
                  <c:v>25337</c:v>
                </c:pt>
                <c:pt idx="1">
                  <c:v>92909</c:v>
                </c:pt>
                <c:pt idx="2">
                  <c:v>477403</c:v>
                </c:pt>
                <c:pt idx="3">
                  <c:v>953581</c:v>
                </c:pt>
                <c:pt idx="4">
                  <c:v>7183</c:v>
                </c:pt>
                <c:pt idx="5">
                  <c:v>21572</c:v>
                </c:pt>
                <c:pt idx="6">
                  <c:v>33248.375</c:v>
                </c:pt>
                <c:pt idx="7">
                  <c:v>3951.0899999999997</c:v>
                </c:pt>
                <c:pt idx="8">
                  <c:v>14311.008</c:v>
                </c:pt>
                <c:pt idx="9">
                  <c:v>7.44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855-4A46-824A-F20FB8935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459464"/>
        <c:axId val="409460248"/>
      </c:barChart>
      <c:catAx>
        <c:axId val="40945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60248"/>
        <c:crosses val="autoZero"/>
        <c:auto val="1"/>
        <c:lblAlgn val="ctr"/>
        <c:lblOffset val="100"/>
        <c:noMultiLvlLbl val="0"/>
      </c:catAx>
      <c:valAx>
        <c:axId val="40946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5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000" b="1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000" b="1" baseline="0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C</a:t>
            </a:r>
            <a:r>
              <a:rPr lang="nl-NL" sz="1000" baseline="0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. </a:t>
            </a:r>
            <a:r>
              <a:rPr lang="nl-NL" sz="10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Vliegreizen per soort</a:t>
            </a:r>
            <a:endParaRPr lang="nl-NL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4.8613538721591847E-2"/>
          <c:y val="8.8688260987407216E-2"/>
          <c:w val="0.93098723215607737"/>
          <c:h val="0.77667658436715203"/>
        </c:manualLayout>
      </c:layout>
      <c:lineChart>
        <c:grouping val="standard"/>
        <c:varyColors val="0"/>
        <c:ser>
          <c:idx val="2"/>
          <c:order val="0"/>
          <c:tx>
            <c:strRef>
              <c:f>Energiebeoordelingen!$B$24</c:f>
              <c:strCache>
                <c:ptCount val="1"/>
                <c:pt idx="0">
                  <c:v>Benzine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Energiebeoordelingen!$C$22:$F$22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Energiebeoordelingen!$C$24:$F$24</c:f>
              <c:numCache>
                <c:formatCode>#,##0</c:formatCode>
                <c:ptCount val="4"/>
                <c:pt idx="0">
                  <c:v>28453.702000000001</c:v>
                </c:pt>
                <c:pt idx="1">
                  <c:v>2629.998</c:v>
                </c:pt>
                <c:pt idx="2">
                  <c:v>29302.953000000001</c:v>
                </c:pt>
                <c:pt idx="3">
                  <c:v>31359.660478764479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3-4470-8E0D-C4D0C413BB65}"/>
            </c:ext>
          </c:extLst>
        </c:ser>
        <c:ser>
          <c:idx val="0"/>
          <c:order val="1"/>
          <c:tx>
            <c:strRef>
              <c:f>Energiebeoordelingen!$B$25</c:f>
              <c:strCache>
                <c:ptCount val="1"/>
                <c:pt idx="0">
                  <c:v>Diesel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Energiebeoordelingen!$C$22:$F$22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Energiebeoordelingen!$C$25:$F$25</c:f>
              <c:numCache>
                <c:formatCode>#,##0</c:formatCode>
                <c:ptCount val="4"/>
                <c:pt idx="0">
                  <c:v>43738.561999999998</c:v>
                </c:pt>
                <c:pt idx="1">
                  <c:v>42090.157999999996</c:v>
                </c:pt>
                <c:pt idx="2">
                  <c:v>40841.764000000003</c:v>
                </c:pt>
                <c:pt idx="3">
                  <c:v>44703.752484662575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93-4470-8E0D-C4D0C413BB65}"/>
            </c:ext>
          </c:extLst>
        </c:ser>
        <c:ser>
          <c:idx val="1"/>
          <c:order val="2"/>
          <c:tx>
            <c:strRef>
              <c:f>Energiebeoordelingen!$B$26</c:f>
              <c:strCache>
                <c:ptCount val="1"/>
                <c:pt idx="0">
                  <c:v>Elektriciteit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Energiebeoordelingen!$C$22:$F$22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Energiebeoordelingen!$C$26:$F$26</c:f>
              <c:numCache>
                <c:formatCode>#,##0</c:formatCode>
                <c:ptCount val="4"/>
                <c:pt idx="0">
                  <c:v>155.98699999999999</c:v>
                </c:pt>
                <c:pt idx="1">
                  <c:v>603.55700000000002</c:v>
                </c:pt>
                <c:pt idx="2">
                  <c:v>809.30100000000004</c:v>
                </c:pt>
                <c:pt idx="3">
                  <c:v>2460.567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3-4470-8E0D-C4D0C413B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459464"/>
        <c:axId val="409460248"/>
      </c:lineChart>
      <c:catAx>
        <c:axId val="40945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60248"/>
        <c:crosses val="autoZero"/>
        <c:auto val="1"/>
        <c:lblAlgn val="ctr"/>
        <c:lblOffset val="100"/>
        <c:noMultiLvlLbl val="0"/>
      </c:catAx>
      <c:valAx>
        <c:axId val="40946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5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000" b="1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000" b="1" baseline="0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D</a:t>
            </a:r>
            <a:r>
              <a:rPr lang="nl-NL" sz="1000" baseline="0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. </a:t>
            </a:r>
            <a:r>
              <a:rPr lang="nl-NL" sz="10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Zakelijk vervoer per soort</a:t>
            </a:r>
            <a:endParaRPr lang="nl-NL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Energiebeoordelingen!$V$24</c:f>
              <c:strCache>
                <c:ptCount val="1"/>
                <c:pt idx="0">
                  <c:v>Gedeclareerde kilometers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Energiebeoordelingen!$W$22:$Z$22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Energiebeoordelingen!$W$24:$Z$24</c:f>
              <c:numCache>
                <c:formatCode>#,##0</c:formatCode>
                <c:ptCount val="4"/>
                <c:pt idx="0">
                  <c:v>2148862.905263158</c:v>
                </c:pt>
                <c:pt idx="1">
                  <c:v>1107371.6105263159</c:v>
                </c:pt>
                <c:pt idx="2">
                  <c:v>189455.17894736843</c:v>
                </c:pt>
                <c:pt idx="3">
                  <c:v>302351.7212631579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BE-CF4F-B0FA-F542D9D985F7}"/>
            </c:ext>
          </c:extLst>
        </c:ser>
        <c:ser>
          <c:idx val="3"/>
          <c:order val="1"/>
          <c:tx>
            <c:strRef>
              <c:f>Energiebeoordelingen!$V$26</c:f>
              <c:strCache>
                <c:ptCount val="1"/>
                <c:pt idx="0">
                  <c:v>Treinkilometers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Energiebeoordelingen!$W$22:$Z$22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Energiebeoordelingen!$W$26:$Z$26</c:f>
              <c:numCache>
                <c:formatCode>#,##0</c:formatCode>
                <c:ptCount val="4"/>
                <c:pt idx="0">
                  <c:v>1635100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BE-CF4F-B0FA-F542D9D985F7}"/>
            </c:ext>
          </c:extLst>
        </c:ser>
        <c:ser>
          <c:idx val="4"/>
          <c:order val="2"/>
          <c:tx>
            <c:strRef>
              <c:f>Energiebeoordelingen!$V$27</c:f>
              <c:strCache>
                <c:ptCount val="1"/>
                <c:pt idx="0">
                  <c:v>Vliegreizen &lt;700 km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Energiebeoordelingen!$W$22:$Z$22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Energiebeoordelingen!$W$27:$Z$27</c:f>
              <c:numCache>
                <c:formatCode>#,##0</c:formatCode>
                <c:ptCount val="4"/>
                <c:pt idx="0">
                  <c:v>7774</c:v>
                </c:pt>
                <c:pt idx="1">
                  <c:v>1960</c:v>
                </c:pt>
                <c:pt idx="2">
                  <c:v>0</c:v>
                </c:pt>
                <c:pt idx="3">
                  <c:v>249.024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BE-CF4F-B0FA-F542D9D985F7}"/>
            </c:ext>
          </c:extLst>
        </c:ser>
        <c:ser>
          <c:idx val="5"/>
          <c:order val="3"/>
          <c:tx>
            <c:strRef>
              <c:f>Energiebeoordelingen!$V$28</c:f>
              <c:strCache>
                <c:ptCount val="1"/>
                <c:pt idx="0">
                  <c:v>Vliegreizen 700-2500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Energiebeoordelingen!$W$22:$Z$22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Energiebeoordelingen!$W$28:$Z$28</c:f>
              <c:numCache>
                <c:formatCode>#,##0</c:formatCode>
                <c:ptCount val="4"/>
                <c:pt idx="0">
                  <c:v>5786</c:v>
                </c:pt>
                <c:pt idx="1">
                  <c:v>206567</c:v>
                </c:pt>
                <c:pt idx="2">
                  <c:v>5006</c:v>
                </c:pt>
                <c:pt idx="3">
                  <c:v>209.42400000000001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BE-CF4F-B0FA-F542D9D985F7}"/>
            </c:ext>
          </c:extLst>
        </c:ser>
        <c:ser>
          <c:idx val="6"/>
          <c:order val="4"/>
          <c:tx>
            <c:strRef>
              <c:f>Energiebeoordelingen!$V$29</c:f>
              <c:strCache>
                <c:ptCount val="1"/>
                <c:pt idx="0">
                  <c:v>Vliegreizen &gt;2500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Energiebeoordelingen!$W$22:$Z$22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Energiebeoordelingen!$W$29:$Z$29</c:f>
              <c:numCache>
                <c:formatCode>#,##0</c:formatCode>
                <c:ptCount val="4"/>
                <c:pt idx="0">
                  <c:v>176578</c:v>
                </c:pt>
                <c:pt idx="1">
                  <c:v>58826</c:v>
                </c:pt>
                <c:pt idx="2">
                  <c:v>0</c:v>
                </c:pt>
                <c:pt idx="3">
                  <c:v>303020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BE-CF4F-B0FA-F542D9D985F7}"/>
            </c:ext>
          </c:extLst>
        </c:ser>
        <c:ser>
          <c:idx val="0"/>
          <c:order val="5"/>
          <c:tx>
            <c:strRef>
              <c:f>Energiebeoordelingen!$V$25</c:f>
              <c:strCache>
                <c:ptCount val="1"/>
                <c:pt idx="0">
                  <c:v>Openbaar vervoer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Energiebeoordelingen!$W$25:$Z$25</c:f>
              <c:numCache>
                <c:formatCode>#,##0</c:formatCode>
                <c:ptCount val="4"/>
                <c:pt idx="0">
                  <c:v>508.38</c:v>
                </c:pt>
                <c:pt idx="1">
                  <c:v>384.8</c:v>
                </c:pt>
                <c:pt idx="2">
                  <c:v>134946.66</c:v>
                </c:pt>
                <c:pt idx="3">
                  <c:v>349494.0153846154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BE-CF4F-B0FA-F542D9D98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459464"/>
        <c:axId val="409460248"/>
      </c:lineChart>
      <c:catAx>
        <c:axId val="40945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60248"/>
        <c:crosses val="autoZero"/>
        <c:auto val="1"/>
        <c:lblAlgn val="ctr"/>
        <c:lblOffset val="100"/>
        <c:noMultiLvlLbl val="0"/>
      </c:catAx>
      <c:valAx>
        <c:axId val="40946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5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000" b="1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000" b="1" baseline="0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B</a:t>
            </a:r>
            <a:r>
              <a:rPr lang="nl-NL" sz="1000" baseline="0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. </a:t>
            </a:r>
            <a:r>
              <a:rPr lang="nl-NL" sz="10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Elektriciteitsverbruik per verbruiker</a:t>
            </a:r>
            <a:endParaRPr lang="nl-NL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Energiebeoordelingen!$C$5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Energiebeoordelingen!$V$7:$V$16</c:f>
              <c:strCache>
                <c:ptCount val="10"/>
                <c:pt idx="0">
                  <c:v>Nieuwe Waterweg</c:v>
                </c:pt>
                <c:pt idx="1">
                  <c:v>Houtrust</c:v>
                </c:pt>
                <c:pt idx="2">
                  <c:v>Groote Lucht</c:v>
                </c:pt>
                <c:pt idx="3">
                  <c:v>Harnaschpolder</c:v>
                </c:pt>
                <c:pt idx="4">
                  <c:v>Watersystemen</c:v>
                </c:pt>
                <c:pt idx="5">
                  <c:v>Facilitair</c:v>
                </c:pt>
                <c:pt idx="6">
                  <c:v>GR Slibverwerking 2009</c:v>
                </c:pt>
                <c:pt idx="7">
                  <c:v>GR RBG</c:v>
                </c:pt>
                <c:pt idx="8">
                  <c:v>GR AQUON</c:v>
                </c:pt>
                <c:pt idx="9">
                  <c:v>GR AquaMinerals</c:v>
                </c:pt>
              </c:strCache>
            </c:strRef>
          </c:cat>
          <c:val>
            <c:numRef>
              <c:f>Energiebeoordelingen!$W$7:$W$16</c:f>
              <c:numCache>
                <c:formatCode>#,##0</c:formatCode>
                <c:ptCount val="10"/>
                <c:pt idx="0">
                  <c:v>1946765</c:v>
                </c:pt>
                <c:pt idx="1">
                  <c:v>9625157</c:v>
                </c:pt>
                <c:pt idx="2">
                  <c:v>9746444</c:v>
                </c:pt>
                <c:pt idx="3">
                  <c:v>24116233</c:v>
                </c:pt>
                <c:pt idx="4">
                  <c:v>5406947</c:v>
                </c:pt>
                <c:pt idx="5">
                  <c:v>538560</c:v>
                </c:pt>
                <c:pt idx="6">
                  <c:v>4631800</c:v>
                </c:pt>
                <c:pt idx="7">
                  <c:v>92629.393999999986</c:v>
                </c:pt>
                <c:pt idx="8">
                  <c:v>134573.29200000002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E-DF42-A8F3-29021FB1D624}"/>
            </c:ext>
          </c:extLst>
        </c:ser>
        <c:ser>
          <c:idx val="2"/>
          <c:order val="1"/>
          <c:tx>
            <c:strRef>
              <c:f>Energiebeoordelingen!$D$5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Energiebeoordelingen!$V$7:$V$16</c:f>
              <c:strCache>
                <c:ptCount val="10"/>
                <c:pt idx="0">
                  <c:v>Nieuwe Waterweg</c:v>
                </c:pt>
                <c:pt idx="1">
                  <c:v>Houtrust</c:v>
                </c:pt>
                <c:pt idx="2">
                  <c:v>Groote Lucht</c:v>
                </c:pt>
                <c:pt idx="3">
                  <c:v>Harnaschpolder</c:v>
                </c:pt>
                <c:pt idx="4">
                  <c:v>Watersystemen</c:v>
                </c:pt>
                <c:pt idx="5">
                  <c:v>Facilitair</c:v>
                </c:pt>
                <c:pt idx="6">
                  <c:v>GR Slibverwerking 2009</c:v>
                </c:pt>
                <c:pt idx="7">
                  <c:v>GR RBG</c:v>
                </c:pt>
                <c:pt idx="8">
                  <c:v>GR AQUON</c:v>
                </c:pt>
                <c:pt idx="9">
                  <c:v>GR AquaMinerals</c:v>
                </c:pt>
              </c:strCache>
            </c:strRef>
          </c:cat>
          <c:val>
            <c:numRef>
              <c:f>Energiebeoordelingen!$X$7:$X$16</c:f>
              <c:numCache>
                <c:formatCode>#,##0</c:formatCode>
                <c:ptCount val="10"/>
                <c:pt idx="0">
                  <c:v>2451325</c:v>
                </c:pt>
                <c:pt idx="1">
                  <c:v>9641890</c:v>
                </c:pt>
                <c:pt idx="2">
                  <c:v>8914312</c:v>
                </c:pt>
                <c:pt idx="3">
                  <c:v>36226744</c:v>
                </c:pt>
                <c:pt idx="4">
                  <c:v>6160827</c:v>
                </c:pt>
                <c:pt idx="5">
                  <c:v>451101</c:v>
                </c:pt>
                <c:pt idx="6">
                  <c:v>4742600</c:v>
                </c:pt>
                <c:pt idx="7">
                  <c:v>84542.743999999992</c:v>
                </c:pt>
                <c:pt idx="8">
                  <c:v>141087.77100000001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E-DF42-A8F3-29021FB1D624}"/>
            </c:ext>
          </c:extLst>
        </c:ser>
        <c:ser>
          <c:idx val="3"/>
          <c:order val="2"/>
          <c:tx>
            <c:strRef>
              <c:f>Energiebeoordelingen!$E$5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Energiebeoordelingen!$V$7:$V$16</c:f>
              <c:strCache>
                <c:ptCount val="10"/>
                <c:pt idx="0">
                  <c:v>Nieuwe Waterweg</c:v>
                </c:pt>
                <c:pt idx="1">
                  <c:v>Houtrust</c:v>
                </c:pt>
                <c:pt idx="2">
                  <c:v>Groote Lucht</c:v>
                </c:pt>
                <c:pt idx="3">
                  <c:v>Harnaschpolder</c:v>
                </c:pt>
                <c:pt idx="4">
                  <c:v>Watersystemen</c:v>
                </c:pt>
                <c:pt idx="5">
                  <c:v>Facilitair</c:v>
                </c:pt>
                <c:pt idx="6">
                  <c:v>GR Slibverwerking 2009</c:v>
                </c:pt>
                <c:pt idx="7">
                  <c:v>GR RBG</c:v>
                </c:pt>
                <c:pt idx="8">
                  <c:v>GR AQUON</c:v>
                </c:pt>
                <c:pt idx="9">
                  <c:v>GR AquaMinerals</c:v>
                </c:pt>
              </c:strCache>
            </c:strRef>
          </c:cat>
          <c:val>
            <c:numRef>
              <c:f>Energiebeoordelingen!$Y$7:$Y$16</c:f>
              <c:numCache>
                <c:formatCode>#,##0</c:formatCode>
                <c:ptCount val="10"/>
                <c:pt idx="0">
                  <c:v>2245773</c:v>
                </c:pt>
                <c:pt idx="1">
                  <c:v>15271504</c:v>
                </c:pt>
                <c:pt idx="2">
                  <c:v>8695438</c:v>
                </c:pt>
                <c:pt idx="3">
                  <c:v>37075339</c:v>
                </c:pt>
                <c:pt idx="4">
                  <c:v>5441254</c:v>
                </c:pt>
                <c:pt idx="5">
                  <c:v>444195</c:v>
                </c:pt>
                <c:pt idx="6">
                  <c:v>2875000</c:v>
                </c:pt>
                <c:pt idx="7">
                  <c:v>72582.795999999988</c:v>
                </c:pt>
                <c:pt idx="8">
                  <c:v>143178.01199999999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2E-DF42-A8F3-29021FB1D624}"/>
            </c:ext>
          </c:extLst>
        </c:ser>
        <c:ser>
          <c:idx val="4"/>
          <c:order val="3"/>
          <c:tx>
            <c:strRef>
              <c:f>Energiebeoordelingen!$F$5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Energiebeoordelingen!$V$7:$V$16</c:f>
              <c:strCache>
                <c:ptCount val="10"/>
                <c:pt idx="0">
                  <c:v>Nieuwe Waterweg</c:v>
                </c:pt>
                <c:pt idx="1">
                  <c:v>Houtrust</c:v>
                </c:pt>
                <c:pt idx="2">
                  <c:v>Groote Lucht</c:v>
                </c:pt>
                <c:pt idx="3">
                  <c:v>Harnaschpolder</c:v>
                </c:pt>
                <c:pt idx="4">
                  <c:v>Watersystemen</c:v>
                </c:pt>
                <c:pt idx="5">
                  <c:v>Facilitair</c:v>
                </c:pt>
                <c:pt idx="6">
                  <c:v>GR Slibverwerking 2009</c:v>
                </c:pt>
                <c:pt idx="7">
                  <c:v>GR RBG</c:v>
                </c:pt>
                <c:pt idx="8">
                  <c:v>GR AQUON</c:v>
                </c:pt>
                <c:pt idx="9">
                  <c:v>GR AquaMinerals</c:v>
                </c:pt>
              </c:strCache>
            </c:strRef>
          </c:cat>
          <c:val>
            <c:numRef>
              <c:f>Energiebeoordelingen!$Z$7:$Z$16</c:f>
              <c:numCache>
                <c:formatCode>#,##0</c:formatCode>
                <c:ptCount val="10"/>
                <c:pt idx="0">
                  <c:v>2891445</c:v>
                </c:pt>
                <c:pt idx="1">
                  <c:v>16675596</c:v>
                </c:pt>
                <c:pt idx="2">
                  <c:v>8796775</c:v>
                </c:pt>
                <c:pt idx="3">
                  <c:v>36645467</c:v>
                </c:pt>
                <c:pt idx="4">
                  <c:v>5683008</c:v>
                </c:pt>
                <c:pt idx="5">
                  <c:v>423705</c:v>
                </c:pt>
                <c:pt idx="6">
                  <c:v>2934500</c:v>
                </c:pt>
                <c:pt idx="7">
                  <c:v>55475.295532799995</c:v>
                </c:pt>
                <c:pt idx="8">
                  <c:v>139328.19899999999</c:v>
                </c:pt>
                <c:pt idx="9">
                  <c:v>38297.734119187953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2E-DF42-A8F3-29021FB1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459464"/>
        <c:axId val="409460248"/>
      </c:barChart>
      <c:catAx>
        <c:axId val="40945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60248"/>
        <c:crosses val="autoZero"/>
        <c:auto val="1"/>
        <c:lblAlgn val="ctr"/>
        <c:lblOffset val="100"/>
        <c:noMultiLvlLbl val="0"/>
      </c:catAx>
      <c:valAx>
        <c:axId val="40946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5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l-NL">
                <a:solidFill>
                  <a:srgbClr val="224F92"/>
                </a:solidFill>
              </a:rPr>
              <a:t>Figuur M1. </a:t>
            </a:r>
            <a:r>
              <a:rPr lang="nl-NL">
                <a:solidFill>
                  <a:srgbClr val="7F7F7F"/>
                </a:solidFill>
              </a:rPr>
              <a:t>CO</a:t>
            </a:r>
            <a:r>
              <a:rPr lang="nl-NL" baseline="-25000">
                <a:solidFill>
                  <a:srgbClr val="7F7F7F"/>
                </a:solidFill>
              </a:rPr>
              <a:t>2</a:t>
            </a:r>
            <a:r>
              <a:rPr lang="nl-NL">
                <a:solidFill>
                  <a:srgbClr val="7F7F7F"/>
                </a:solidFill>
              </a:rPr>
              <a:t>-footprint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9209965660767225"/>
          <c:y val="0.1871146106736658"/>
          <c:w val="0.35673526420708201"/>
          <c:h val="0.7464589506956791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4-48C6-BD88-1DE85D037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54-48C6-BD88-1DE85D037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B54-48C6-BD88-1DE85D037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54-48C6-BD88-1DE85D0377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54-48C6-BD88-1DE85D0377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B54-48C6-BD88-1DE85D0377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54-48C6-BD88-1DE85D0377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AFE-564A-80C0-688B9C2A93D2}"/>
              </c:ext>
            </c:extLst>
          </c:dPt>
          <c:dLbls>
            <c:dLbl>
              <c:idx val="3"/>
              <c:layout>
                <c:manualLayout>
                  <c:x val="1.3321748656784378E-3"/>
                  <c:y val="-3.4267913473068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54-48C6-BD88-1DE85D0377A8}"/>
                </c:ext>
              </c:extLst>
            </c:dLbl>
            <c:dLbl>
              <c:idx val="4"/>
              <c:layout>
                <c:manualLayout>
                  <c:x val="7.9930491940708708E-3"/>
                  <c:y val="3.71235729291578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54-48C6-BD88-1DE85D0377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54-48C6-BD88-1DE85D037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'CO2-emissie-inventaris'!$B$49:$B$56</c:f>
              <c:strCache>
                <c:ptCount val="8"/>
                <c:pt idx="0">
                  <c:v>Aardgasverbruik</c:v>
                </c:pt>
                <c:pt idx="1">
                  <c:v>Brandstofverbruik bedrijfsmiddelen</c:v>
                </c:pt>
                <c:pt idx="2">
                  <c:v>Brandstofverbruik wagenpark</c:v>
                </c:pt>
                <c:pt idx="3">
                  <c:v>Elektriciteitsverbruik vastgoed</c:v>
                </c:pt>
                <c:pt idx="4">
                  <c:v>Elektriciteitsverbruik wagenpark</c:v>
                </c:pt>
                <c:pt idx="5">
                  <c:v>Warmtelevering</c:v>
                </c:pt>
                <c:pt idx="6">
                  <c:v>Zakelijk vervoer</c:v>
                </c:pt>
                <c:pt idx="7">
                  <c:v>Vliegreizen</c:v>
                </c:pt>
              </c:strCache>
            </c:strRef>
          </c:cat>
          <c:val>
            <c:numRef>
              <c:f>'CO2-emissie-inventaris'!$C$49:$C$56</c:f>
              <c:numCache>
                <c:formatCode>_(* #,##0.00_);_(* \(#,##0.00\);_(* "-"??_);_(@_)</c:formatCode>
                <c:ptCount val="8"/>
                <c:pt idx="0">
                  <c:v>3397.5135736049997</c:v>
                </c:pt>
                <c:pt idx="1">
                  <c:v>145.82364060496934</c:v>
                </c:pt>
                <c:pt idx="2">
                  <c:v>87.305294772880302</c:v>
                </c:pt>
                <c:pt idx="3">
                  <c:v>29.013579563654396</c:v>
                </c:pt>
                <c:pt idx="4">
                  <c:v>0</c:v>
                </c:pt>
                <c:pt idx="5">
                  <c:v>1.286876541</c:v>
                </c:pt>
                <c:pt idx="6">
                  <c:v>58.353882203789475</c:v>
                </c:pt>
                <c:pt idx="7">
                  <c:v>9.4292544000000006E-2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54-48C6-BD88-1DE85D037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legend>
    <c:plotVisOnly val="1"/>
    <c:dispBlanksAs val="zero"/>
    <c:showDLblsOverMax val="1"/>
  </c:chart>
  <c:spPr>
    <a:solidFill>
      <a:schemeClr val="lt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V1.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CO2-uitstoot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'CO2-voortgang'!$B$37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'CO2-voortgang'!$C$35:$J$35</c:f>
              <c:numCache>
                <c:formatCode>0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'CO2-voortgang'!$C$37:$F$37</c:f>
              <c:numCache>
                <c:formatCode>0%</c:formatCode>
                <c:ptCount val="4"/>
                <c:pt idx="0">
                  <c:v>1</c:v>
                </c:pt>
                <c:pt idx="1">
                  <c:v>1.1843383815311246</c:v>
                </c:pt>
                <c:pt idx="2">
                  <c:v>0.17392238094055187</c:v>
                </c:pt>
                <c:pt idx="3">
                  <c:v>0.1543188905977545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E-4AE6-A234-10B1574AC348}"/>
            </c:ext>
          </c:extLst>
        </c:ser>
        <c:ser>
          <c:idx val="2"/>
          <c:order val="1"/>
          <c:tx>
            <c:strRef>
              <c:f>'CO2-voortgang'!$B$38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'CO2-voortgang'!$C$35:$J$35</c:f>
              <c:numCache>
                <c:formatCode>0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'CO2-voortgang'!$C$38:$F$38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0.17</c:v>
                </c:pt>
                <c:pt idx="3">
                  <c:v>0.156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E-4AE6-A234-10B1574AC348}"/>
            </c:ext>
          </c:extLst>
        </c:ser>
        <c:ser>
          <c:idx val="3"/>
          <c:order val="2"/>
          <c:tx>
            <c:strRef>
              <c:f>'CO2-voortgang'!$B$44</c:f>
              <c:strCache>
                <c:ptCount val="1"/>
                <c:pt idx="0">
                  <c:v>Relatieve voortgang FTE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'CO2-voortgang'!$C$44:$J$44</c:f>
            </c:numRef>
          </c:val>
          <c:smooth val="0"/>
          <c:extLst>
            <c:ext xmlns:c16="http://schemas.microsoft.com/office/drawing/2014/chart" uri="{C3380CC4-5D6E-409C-BE32-E72D297353CC}">
              <c16:uniqueId val="{00000004-9F2E-4AE6-A234-10B1574AC348}"/>
            </c:ext>
          </c:extLst>
        </c:ser>
        <c:ser>
          <c:idx val="4"/>
          <c:order val="3"/>
          <c:tx>
            <c:strRef>
              <c:f>'CO2-voortgang'!$B$47</c:f>
              <c:strCache>
                <c:ptCount val="1"/>
                <c:pt idx="0">
                  <c:v>Relatieve voortgang kilometers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'CO2-voortgang'!$C$47:$J$47</c:f>
            </c:numRef>
          </c:val>
          <c:smooth val="0"/>
          <c:extLst>
            <c:ext xmlns:c16="http://schemas.microsoft.com/office/drawing/2014/chart" uri="{C3380CC4-5D6E-409C-BE32-E72D297353CC}">
              <c16:uniqueId val="{00000005-9F2E-4AE6-A234-10B1574AC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V2.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</a:t>
            </a:r>
            <a:r>
              <a:rPr lang="nl-NL" sz="1800" b="1" baseline="0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CO2-uitstoot</a:t>
            </a:r>
            <a:endParaRPr lang="nl-NL" sz="1800" b="1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'CO2-voortgang'!$M$37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'CO2-voortgang'!$N$35:$U$35</c:f>
              <c:numCache>
                <c:formatCode>0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'CO2-voortgang'!$N$37:$U$37</c:f>
              <c:numCache>
                <c:formatCode>0%</c:formatCode>
                <c:ptCount val="8"/>
                <c:pt idx="0">
                  <c:v>1</c:v>
                </c:pt>
                <c:pt idx="1">
                  <c:v>1.1861118144537393</c:v>
                </c:pt>
                <c:pt idx="2">
                  <c:v>0.16740181296666948</c:v>
                </c:pt>
                <c:pt idx="3">
                  <c:v>0.14799623187685262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2-4C84-8B19-ED89339C0528}"/>
            </c:ext>
          </c:extLst>
        </c:ser>
        <c:ser>
          <c:idx val="2"/>
          <c:order val="1"/>
          <c:tx>
            <c:strRef>
              <c:f>'CO2-voortgang'!$M$38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'CO2-voortgang'!$N$35:$U$35</c:f>
              <c:numCache>
                <c:formatCode>0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'CO2-voortgang'!$N$38:$U$38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0.17</c:v>
                </c:pt>
                <c:pt idx="3">
                  <c:v>0.156</c:v>
                </c:pt>
                <c:pt idx="4">
                  <c:v>0.14199999999999999</c:v>
                </c:pt>
                <c:pt idx="5">
                  <c:v>0.12799999999999997</c:v>
                </c:pt>
                <c:pt idx="6">
                  <c:v>0.11399999999999998</c:v>
                </c:pt>
                <c:pt idx="7">
                  <c:v>9.9999999999999978E-2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2-4C84-8B19-ED89339C0528}"/>
            </c:ext>
          </c:extLst>
        </c:ser>
        <c:ser>
          <c:idx val="0"/>
          <c:order val="2"/>
          <c:tx>
            <c:strRef>
              <c:f>'CO2-voortgang'!$M$41</c:f>
              <c:strCache>
                <c:ptCount val="1"/>
                <c:pt idx="0">
                  <c:v>Relatieve voortgang verpompt afvalwater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'CO2-voortgang'!$N$35:$U$35</c:f>
              <c:numCache>
                <c:formatCode>0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'CO2-voortgang'!$N$41:$U$41</c:f>
              <c:numCache>
                <c:formatCode>0%</c:formatCode>
                <c:ptCount val="8"/>
                <c:pt idx="0">
                  <c:v>1</c:v>
                </c:pt>
                <c:pt idx="1">
                  <c:v>1.1301371870258952</c:v>
                </c:pt>
                <c:pt idx="2">
                  <c:v>0.16312258130482538</c:v>
                </c:pt>
                <c:pt idx="3">
                  <c:v>0.16581751424164579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C-400C-BCE9-3A63AE6FF9B8}"/>
            </c:ext>
          </c:extLst>
        </c:ser>
        <c:ser>
          <c:idx val="3"/>
          <c:order val="3"/>
          <c:tx>
            <c:strRef>
              <c:f>'CO2-voortgang'!$M$44</c:f>
              <c:strCache>
                <c:ptCount val="1"/>
                <c:pt idx="0">
                  <c:v>Relatieve voortgang FTE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'CO2-voortgang'!$N$44:$U$44</c:f>
            </c:numRef>
          </c:val>
          <c:smooth val="0"/>
          <c:extLst>
            <c:ext xmlns:c16="http://schemas.microsoft.com/office/drawing/2014/chart" uri="{C3380CC4-5D6E-409C-BE32-E72D297353CC}">
              <c16:uniqueId val="{00000003-0822-4C84-8B19-ED89339C0528}"/>
            </c:ext>
          </c:extLst>
        </c:ser>
        <c:ser>
          <c:idx val="4"/>
          <c:order val="4"/>
          <c:tx>
            <c:strRef>
              <c:f>'CO2-voortgang'!$M$47</c:f>
              <c:strCache>
                <c:ptCount val="1"/>
                <c:pt idx="0">
                  <c:v>Relatieve voortgang kilometers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'CO2-voortgang'!$N$47:$U$47</c:f>
            </c:numRef>
          </c:val>
          <c:smooth val="0"/>
          <c:extLst>
            <c:ext xmlns:c16="http://schemas.microsoft.com/office/drawing/2014/chart" uri="{C3380CC4-5D6E-409C-BE32-E72D297353CC}">
              <c16:uniqueId val="{00000004-0822-4C84-8B19-ED89339C0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V3.</a:t>
            </a:r>
            <a:r>
              <a:rPr lang="nl-NL" sz="1800" b="1" baseline="0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</a:t>
            </a:r>
            <a:r>
              <a:rPr lang="nl-NL" sz="1800" b="1" baseline="0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CO2-uitstoot</a:t>
            </a:r>
            <a:endParaRPr lang="nl-NL" sz="1800" b="1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'CO2-voortgang'!$B$96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'CO2-voortgang'!$C$96:$J$96</c:f>
            </c:numRef>
          </c:val>
          <c:smooth val="0"/>
          <c:extLst>
            <c:ext xmlns:c16="http://schemas.microsoft.com/office/drawing/2014/chart" uri="{C3380CC4-5D6E-409C-BE32-E72D297353CC}">
              <c16:uniqueId val="{00000001-A409-48C6-A198-92A96A790FD5}"/>
            </c:ext>
          </c:extLst>
        </c:ser>
        <c:ser>
          <c:idx val="2"/>
          <c:order val="1"/>
          <c:tx>
            <c:strRef>
              <c:f>'CO2-voortgang'!$B$97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'CO2-voortgang'!$C$97:$J$97</c:f>
            </c:numRef>
          </c:val>
          <c:smooth val="0"/>
          <c:extLst>
            <c:ext xmlns:c16="http://schemas.microsoft.com/office/drawing/2014/chart" uri="{C3380CC4-5D6E-409C-BE32-E72D297353CC}">
              <c16:uniqueId val="{00000002-A409-48C6-A198-92A96A790FD5}"/>
            </c:ext>
          </c:extLst>
        </c:ser>
        <c:ser>
          <c:idx val="0"/>
          <c:order val="2"/>
          <c:tx>
            <c:strRef>
              <c:f>'CO2-voortgang'!$B$100</c:f>
              <c:strCache>
                <c:ptCount val="1"/>
                <c:pt idx="0">
                  <c:v>Relatieve voortgang omzet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'CO2-voortgang'!$C$100:$J$100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'CO2-voortgang'!$C$94:$J$94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006-457D-9A27-9F14279BB957}"/>
            </c:ext>
          </c:extLst>
        </c:ser>
        <c:ser>
          <c:idx val="3"/>
          <c:order val="3"/>
          <c:tx>
            <c:strRef>
              <c:f>'CO2-voortgang'!$B$103</c:f>
              <c:strCache>
                <c:ptCount val="1"/>
                <c:pt idx="0">
                  <c:v>Relatieve voortgang FTE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'CO2-voortgang'!$C$103:$J$103</c:f>
            </c:numRef>
          </c:val>
          <c:smooth val="0"/>
          <c:extLst>
            <c:ext xmlns:c16="http://schemas.microsoft.com/office/drawing/2014/chart" uri="{C3380CC4-5D6E-409C-BE32-E72D297353CC}">
              <c16:uniqueId val="{00000003-A409-48C6-A198-92A96A790FD5}"/>
            </c:ext>
          </c:extLst>
        </c:ser>
        <c:ser>
          <c:idx val="4"/>
          <c:order val="4"/>
          <c:tx>
            <c:strRef>
              <c:f>'CO2-voortgang'!$B$106</c:f>
              <c:strCache>
                <c:ptCount val="1"/>
                <c:pt idx="0">
                  <c:v>Relatieve voortgang kilometers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'CO2-voortgang'!$C$106:$J$106</c:f>
            </c:numRef>
          </c:val>
          <c:smooth val="0"/>
          <c:extLst>
            <c:ext xmlns:c16="http://schemas.microsoft.com/office/drawing/2014/chart" uri="{C3380CC4-5D6E-409C-BE32-E72D297353CC}">
              <c16:uniqueId val="{00000004-A409-48C6-A198-92A96A790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800" b="1" baseline="0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V4. </a:t>
            </a:r>
            <a:r>
              <a:rPr lang="nl-NL" sz="1800" b="1" baseline="0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CO2-uitstoot</a:t>
            </a:r>
            <a:endParaRPr lang="nl-NL" sz="1800" b="1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'CO2-voortgang'!$M$96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'CO2-voortgang'!$N$96:$U$96</c:f>
            </c:numRef>
          </c:val>
          <c:smooth val="0"/>
          <c:extLst>
            <c:ext xmlns:c16="http://schemas.microsoft.com/office/drawing/2014/chart" uri="{C3380CC4-5D6E-409C-BE32-E72D297353CC}">
              <c16:uniqueId val="{00000001-3A10-4E3D-88CC-84D2B9DE88BC}"/>
            </c:ext>
          </c:extLst>
        </c:ser>
        <c:ser>
          <c:idx val="2"/>
          <c:order val="1"/>
          <c:tx>
            <c:strRef>
              <c:f>'CO2-voortgang'!$M$97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'CO2-voortgang'!$N$97:$U$97</c:f>
            </c:numRef>
          </c:val>
          <c:smooth val="0"/>
          <c:extLst>
            <c:ext xmlns:c16="http://schemas.microsoft.com/office/drawing/2014/chart" uri="{C3380CC4-5D6E-409C-BE32-E72D297353CC}">
              <c16:uniqueId val="{00000002-3A10-4E3D-88CC-84D2B9DE88BC}"/>
            </c:ext>
          </c:extLst>
        </c:ser>
        <c:ser>
          <c:idx val="0"/>
          <c:order val="2"/>
          <c:tx>
            <c:strRef>
              <c:f>'CO2-voortgang'!$M$100</c:f>
              <c:strCache>
                <c:ptCount val="1"/>
                <c:pt idx="0">
                  <c:v>Relatieve voortgang omzet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'CO2-voortgang'!$N$100:$U$100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'CO2-voortgang'!$N$94:$U$94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31C-4B4A-AE2D-81DC9CEA0986}"/>
            </c:ext>
          </c:extLst>
        </c:ser>
        <c:ser>
          <c:idx val="3"/>
          <c:order val="3"/>
          <c:tx>
            <c:strRef>
              <c:f>'CO2-voortgang'!$M$103</c:f>
              <c:strCache>
                <c:ptCount val="1"/>
                <c:pt idx="0">
                  <c:v>Relatieve voortgang FTE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'CO2-voortgang'!$N$103:$U$103</c:f>
            </c:numRef>
          </c:val>
          <c:smooth val="0"/>
          <c:extLst>
            <c:ext xmlns:c16="http://schemas.microsoft.com/office/drawing/2014/chart" uri="{C3380CC4-5D6E-409C-BE32-E72D297353CC}">
              <c16:uniqueId val="{00000003-3A10-4E3D-88CC-84D2B9DE88BC}"/>
            </c:ext>
          </c:extLst>
        </c:ser>
        <c:ser>
          <c:idx val="4"/>
          <c:order val="4"/>
          <c:tx>
            <c:strRef>
              <c:f>'CO2-voortgang'!$M$106</c:f>
              <c:strCache>
                <c:ptCount val="1"/>
                <c:pt idx="0">
                  <c:v>Relatieve voortgang kilometers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'CO2-voortgang'!$N$106:$U$106</c:f>
            </c:numRef>
          </c:val>
          <c:smooth val="0"/>
          <c:extLst>
            <c:ext xmlns:c16="http://schemas.microsoft.com/office/drawing/2014/chart" uri="{C3380CC4-5D6E-409C-BE32-E72D297353CC}">
              <c16:uniqueId val="{00000004-3A10-4E3D-88CC-84D2B9DE8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l-NL">
                <a:solidFill>
                  <a:srgbClr val="224F92"/>
                </a:solidFill>
              </a:rPr>
              <a:t>Figuur E1. </a:t>
            </a:r>
            <a:r>
              <a:rPr lang="nl-NL">
                <a:solidFill>
                  <a:srgbClr val="7F7F7F"/>
                </a:solidFill>
              </a:rPr>
              <a:t>Energieverbruik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9209965660767225"/>
          <c:y val="0.1871146106736658"/>
          <c:w val="0.35673526420708201"/>
          <c:h val="0.7464589506956791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1-FD4A-887E-7A14D79B53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21-FD4A-887E-7A14D79B53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21-FD4A-887E-7A14D79B53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1-FD4A-887E-7A14D79B530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21-FD4A-887E-7A14D79B530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21-FD4A-887E-7A14D79B530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21-FD4A-887E-7A14D79B530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21-FD4A-887E-7A14D79B530C}"/>
              </c:ext>
            </c:extLst>
          </c:dPt>
          <c:dLbls>
            <c:dLbl>
              <c:idx val="3"/>
              <c:layout>
                <c:manualLayout>
                  <c:x val="1.3321748656784378E-3"/>
                  <c:y val="-3.4267913473068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1-FD4A-887E-7A14D79B530C}"/>
                </c:ext>
              </c:extLst>
            </c:dLbl>
            <c:dLbl>
              <c:idx val="4"/>
              <c:layout>
                <c:manualLayout>
                  <c:x val="7.9930491940708708E-3"/>
                  <c:y val="3.71235729291578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1-FD4A-887E-7A14D79B53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21-FD4A-887E-7A14D79B5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'Omrekening naar GJ'!$B$28:$B$32</c:f>
              <c:strCache>
                <c:ptCount val="5"/>
                <c:pt idx="0">
                  <c:v>Aardgasverbruik</c:v>
                </c:pt>
                <c:pt idx="1">
                  <c:v>Brandstofverbruik wagenpark</c:v>
                </c:pt>
                <c:pt idx="2">
                  <c:v>Elektriciteitsverbruik vastgoed</c:v>
                </c:pt>
                <c:pt idx="3">
                  <c:v>Elektriciteitsverbruik wagenpark</c:v>
                </c:pt>
                <c:pt idx="4">
                  <c:v>Biogas gespuid</c:v>
                </c:pt>
              </c:strCache>
            </c:strRef>
          </c:cat>
          <c:val>
            <c:numRef>
              <c:f>'Omrekening naar GJ'!$C$28:$C$32</c:f>
              <c:numCache>
                <c:formatCode>_(* #,##0.00_);_(* \(#,##0.00\);_(* "-"??_);_(@_)</c:formatCode>
                <c:ptCount val="5"/>
                <c:pt idx="0">
                  <c:v>51573.767196449997</c:v>
                </c:pt>
                <c:pt idx="1">
                  <c:v>2594.8956900349503</c:v>
                </c:pt>
                <c:pt idx="2">
                  <c:v>387760.37753356341</c:v>
                </c:pt>
                <c:pt idx="3">
                  <c:v>12.84415974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21-FD4A-887E-7A14D79B5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legend>
    <c:plotVisOnly val="1"/>
    <c:dispBlanksAs val="zero"/>
    <c:showDLblsOverMax val="1"/>
  </c:chart>
  <c:spPr>
    <a:solidFill>
      <a:schemeClr val="lt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l-NL">
                <a:solidFill>
                  <a:srgbClr val="224F92"/>
                </a:solidFill>
              </a:rPr>
              <a:t>Figuur E2. </a:t>
            </a:r>
            <a:r>
              <a:rPr lang="nl-NL">
                <a:solidFill>
                  <a:srgbClr val="7F7F7F"/>
                </a:solidFill>
              </a:rPr>
              <a:t>Energieverbruik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9209965660767225"/>
          <c:y val="0.1871146106736658"/>
          <c:w val="0.35673526420708201"/>
          <c:h val="0.7464589506956791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0C-F84E-B4C7-A2A6E090E9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0C-F84E-B4C7-A2A6E090E9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0C-F84E-B4C7-A2A6E090E9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0C-F84E-B4C7-A2A6E090E9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0C-F84E-B4C7-A2A6E090E9F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0C-F84E-B4C7-A2A6E090E9F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0C-F84E-B4C7-A2A6E090E9F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0C-F84E-B4C7-A2A6E090E9F5}"/>
              </c:ext>
            </c:extLst>
          </c:dPt>
          <c:dLbls>
            <c:dLbl>
              <c:idx val="3"/>
              <c:layout>
                <c:manualLayout>
                  <c:x val="1.3321748656784378E-3"/>
                  <c:y val="-3.4267913473068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0C-F84E-B4C7-A2A6E090E9F5}"/>
                </c:ext>
              </c:extLst>
            </c:dLbl>
            <c:dLbl>
              <c:idx val="4"/>
              <c:layout>
                <c:manualLayout>
                  <c:x val="7.9930491940708708E-3"/>
                  <c:y val="3.71235729291578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0C-F84E-B4C7-A2A6E090E9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0C-F84E-B4C7-A2A6E090E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'Omrekening naar GJ'!$I$28:$I$32</c:f>
              <c:strCache>
                <c:ptCount val="5"/>
                <c:pt idx="0">
                  <c:v>Aardgasverbruik</c:v>
                </c:pt>
                <c:pt idx="1">
                  <c:v>Brandstofverbruik wagenpark</c:v>
                </c:pt>
                <c:pt idx="2">
                  <c:v>Elektriciteitsverbruik vastgoed</c:v>
                </c:pt>
                <c:pt idx="3">
                  <c:v>Elektriciteitsverbruik wagenpark</c:v>
                </c:pt>
                <c:pt idx="4">
                  <c:v>Biogas gespuid</c:v>
                </c:pt>
              </c:strCache>
            </c:strRef>
          </c:cat>
          <c:val>
            <c:numRef>
              <c:f>'Omrekening naar GJ'!$J$28:$J$32</c:f>
              <c:numCache>
                <c:formatCode>_(* #,##0.00_);_(* \(#,##0.00\);_(* "-"??_);_(@_)</c:formatCode>
                <c:ptCount val="5"/>
                <c:pt idx="0">
                  <c:v>49943.225249999996</c:v>
                </c:pt>
                <c:pt idx="1">
                  <c:v>2171.89896</c:v>
                </c:pt>
                <c:pt idx="2">
                  <c:v>2138280.2097299998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D0C-F84E-B4C7-A2A6E090E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legend>
    <c:plotVisOnly val="1"/>
    <c:dispBlanksAs val="zero"/>
    <c:showDLblsOverMax val="1"/>
  </c:chart>
  <c:spPr>
    <a:solidFill>
      <a:schemeClr val="lt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224F92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EV1.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energieverbruik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'Omrekening naar GJ'!$B$58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GJ'!$C$56:$F$56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GJ'!$C$58:$F$58</c:f>
              <c:numCache>
                <c:formatCode>0%</c:formatCode>
                <c:ptCount val="4"/>
                <c:pt idx="0">
                  <c:v>1</c:v>
                </c:pt>
                <c:pt idx="1">
                  <c:v>1.2634869363885226</c:v>
                </c:pt>
                <c:pt idx="2">
                  <c:v>1.3712774081172914</c:v>
                </c:pt>
                <c:pt idx="3">
                  <c:v>1.3585874087248171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E8-4540-A6C7-F150088739DE}"/>
            </c:ext>
          </c:extLst>
        </c:ser>
        <c:ser>
          <c:idx val="1"/>
          <c:order val="1"/>
          <c:tx>
            <c:strRef>
              <c:f>'Omrekening naar GJ'!$B$59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GJ'!$C$56:$F$56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GJ'!$C$59:$F$59</c:f>
              <c:numCache>
                <c:formatCode>0%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E8-4540-A6C7-F150088739DE}"/>
            </c:ext>
          </c:extLst>
        </c:ser>
        <c:ser>
          <c:idx val="2"/>
          <c:order val="2"/>
          <c:tx>
            <c:strRef>
              <c:f>'Omrekening naar GJ'!$B$62</c:f>
              <c:strCache>
                <c:ptCount val="1"/>
                <c:pt idx="0">
                  <c:v>Relatieve voortgang verpompt afvalwater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GJ'!$C$56:$F$56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GJ'!$C$62:$F$62</c:f>
              <c:numCache>
                <c:formatCode>0%</c:formatCode>
                <c:ptCount val="4"/>
                <c:pt idx="0">
                  <c:v>1</c:v>
                </c:pt>
                <c:pt idx="1">
                  <c:v>1.2038608457767641</c:v>
                </c:pt>
                <c:pt idx="2">
                  <c:v>1.336223942458856</c:v>
                </c:pt>
                <c:pt idx="3">
                  <c:v>1.5221846133366497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E8-4540-A6C7-F150088739DE}"/>
            </c:ext>
          </c:extLst>
        </c:ser>
        <c:ser>
          <c:idx val="3"/>
          <c:order val="3"/>
          <c:tx>
            <c:strRef>
              <c:f>'Omrekening naar GJ'!$B$65</c:f>
              <c:strCache>
                <c:ptCount val="1"/>
                <c:pt idx="0">
                  <c:v>Relatieve voortgang FTE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GJ'!$C$56:$F$56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GJ'!$C$65:$F$65</c:f>
            </c:numRef>
          </c:val>
          <c:smooth val="0"/>
          <c:extLst>
            <c:ext xmlns:c16="http://schemas.microsoft.com/office/drawing/2014/chart" uri="{C3380CC4-5D6E-409C-BE32-E72D297353CC}">
              <c16:uniqueId val="{0000000D-BBE8-4540-A6C7-F150088739DE}"/>
            </c:ext>
          </c:extLst>
        </c:ser>
        <c:ser>
          <c:idx val="4"/>
          <c:order val="4"/>
          <c:tx>
            <c:strRef>
              <c:f>'Omrekening naar GJ'!$B$68</c:f>
              <c:strCache>
                <c:ptCount val="1"/>
                <c:pt idx="0">
                  <c:v>Relatieve voortgang gereden kilometers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GJ'!$C$56:$F$56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GJ'!$C$68:$F$68</c:f>
            </c:numRef>
          </c:val>
          <c:smooth val="0"/>
          <c:extLst>
            <c:ext xmlns:c16="http://schemas.microsoft.com/office/drawing/2014/chart" uri="{C3380CC4-5D6E-409C-BE32-E72D297353CC}">
              <c16:uniqueId val="{0000000E-BBE8-4540-A6C7-F15008873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1.jpg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1.jpg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4.xml"/><Relationship Id="rId4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294619</xdr:colOff>
      <xdr:row>45</xdr:row>
      <xdr:rowOff>160615</xdr:rowOff>
    </xdr:from>
    <xdr:ext cx="10760075" cy="5048250"/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97E62AA1-6BB9-4402-8077-0C0F7EB45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483568</xdr:colOff>
      <xdr:row>45</xdr:row>
      <xdr:rowOff>180395</xdr:rowOff>
    </xdr:from>
    <xdr:ext cx="9783900" cy="4447309"/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2C09470E-A057-47DF-8967-436101FAC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63500</xdr:colOff>
      <xdr:row>0</xdr:row>
      <xdr:rowOff>603250</xdr:rowOff>
    </xdr:from>
    <xdr:ext cx="654491" cy="706892"/>
    <xdr:pic>
      <xdr:nvPicPr>
        <xdr:cNvPr id="3" name="Afbeelding 2">
          <a:extLst>
            <a:ext uri="{FF2B5EF4-FFF2-40B4-BE49-F238E27FC236}">
              <a16:creationId xmlns:a16="http://schemas.microsoft.com/office/drawing/2014/main" id="{F510F74D-C759-484E-8690-99F2492FE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0" y="603250"/>
          <a:ext cx="654491" cy="70689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1073727</xdr:colOff>
      <xdr:row>1</xdr:row>
      <xdr:rowOff>127000</xdr:rowOff>
    </xdr:from>
    <xdr:ext cx="654491" cy="706892"/>
    <xdr:pic>
      <xdr:nvPicPr>
        <xdr:cNvPr id="4" name="Afbeelding 3">
          <a:extLst>
            <a:ext uri="{FF2B5EF4-FFF2-40B4-BE49-F238E27FC236}">
              <a16:creationId xmlns:a16="http://schemas.microsoft.com/office/drawing/2014/main" id="{A2597A5E-07F3-9E4F-B534-8CA24BF7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727" y="300182"/>
          <a:ext cx="654491" cy="706892"/>
        </a:xfrm>
        <a:prstGeom prst="rect">
          <a:avLst/>
        </a:prstGeom>
      </xdr:spPr>
    </xdr:pic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0.87326</cdr:x>
      <cdr:y>0.06345</cdr:y>
    </cdr:from>
    <cdr:to>
      <cdr:x>0.99424</cdr:x>
      <cdr:y>0.13059</cdr:y>
    </cdr:to>
    <cdr:sp macro="" textlink="'CO2-emissie-inventaris'!$J$10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1B157428-D44A-4E24-BE8D-0EC749CBF794}"/>
            </a:ext>
          </a:extLst>
        </cdr:cNvPr>
        <cdr:cNvSpPr txBox="1"/>
      </cdr:nvSpPr>
      <cdr:spPr>
        <a:xfrm xmlns:a="http://schemas.openxmlformats.org/drawingml/2006/main">
          <a:off x="9396305" y="320326"/>
          <a:ext cx="1301754" cy="3389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C0F2C58D-8030-460B-82EB-A2BF7AC97F40}" type="TxLink">
            <a:rPr lang="en-US" sz="18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2022</a:t>
          </a:fld>
          <a:endParaRPr lang="nl-NL" sz="18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0.85223</cdr:x>
      <cdr:y>0.11455</cdr:y>
    </cdr:from>
    <cdr:to>
      <cdr:x>0.9946</cdr:x>
      <cdr:y>0.17304</cdr:y>
    </cdr:to>
    <cdr:sp macro="" textlink="'CO2-emissie-inventaris'!$J$11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0FA9BC8F-4711-4BF5-A966-EE6C933CB406}"/>
            </a:ext>
          </a:extLst>
        </cdr:cNvPr>
        <cdr:cNvSpPr txBox="1"/>
      </cdr:nvSpPr>
      <cdr:spPr>
        <a:xfrm xmlns:a="http://schemas.openxmlformats.org/drawingml/2006/main">
          <a:off x="9170091" y="578280"/>
          <a:ext cx="1531912" cy="2952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1D321028-8A50-4087-94ED-0F00E806D928}" type="TxLink">
            <a:rPr lang="en-US" sz="14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Heel jaar</a:t>
          </a:fld>
          <a:endParaRPr lang="nl-NL" sz="14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0.67961</cdr:x>
      <cdr:y>0.00559</cdr:y>
    </cdr:from>
    <cdr:to>
      <cdr:x>0.99497</cdr:x>
      <cdr:y>0.08106</cdr:y>
    </cdr:to>
    <cdr:sp macro="" textlink="'CO2-emissie-inventaris'!$J$9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259A30A9-5091-4563-9E30-317E11B97E8A}"/>
            </a:ext>
          </a:extLst>
        </cdr:cNvPr>
        <cdr:cNvSpPr txBox="1"/>
      </cdr:nvSpPr>
      <cdr:spPr>
        <a:xfrm xmlns:a="http://schemas.openxmlformats.org/drawingml/2006/main">
          <a:off x="7312681" y="28229"/>
          <a:ext cx="3393281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8947C1B8-38D6-433F-85B1-72EF41AC7597}" type="TxLink">
            <a:rPr lang="en-US" sz="18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Delfland</a:t>
          </a:fld>
          <a:endParaRPr lang="nl-NL" sz="1800" b="1">
            <a:solidFill>
              <a:srgbClr val="7F7F7F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0.86937</cdr:x>
      <cdr:y>0.06745</cdr:y>
    </cdr:from>
    <cdr:to>
      <cdr:x>0.99509</cdr:x>
      <cdr:y>0.14259</cdr:y>
    </cdr:to>
    <cdr:sp macro="" textlink="'CO2-emissie-inventaris'!$C$9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2EADC1B6-CE5A-42DA-AD81-4025BB93705B}"/>
            </a:ext>
          </a:extLst>
        </cdr:cNvPr>
        <cdr:cNvSpPr txBox="1"/>
      </cdr:nvSpPr>
      <cdr:spPr>
        <a:xfrm xmlns:a="http://schemas.openxmlformats.org/drawingml/2006/main">
          <a:off x="8505860" y="299968"/>
          <a:ext cx="1230031" cy="334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A8917775-9A62-42BC-B565-84A0CDFB63E8}" type="TxLink">
            <a:rPr lang="en-US" sz="18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2022</a:t>
          </a:fld>
          <a:endParaRPr lang="nl-NL" sz="18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0.84667</cdr:x>
      <cdr:y>0.13348</cdr:y>
    </cdr:from>
    <cdr:to>
      <cdr:x>0.99513</cdr:x>
      <cdr:y>0.19881</cdr:y>
    </cdr:to>
    <cdr:sp macro="" textlink="'CO2-emissie-inventaris'!$C$10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93913480-D07A-4817-A513-CEBB56BF9471}"/>
            </a:ext>
          </a:extLst>
        </cdr:cNvPr>
        <cdr:cNvSpPr txBox="1"/>
      </cdr:nvSpPr>
      <cdr:spPr>
        <a:xfrm xmlns:a="http://schemas.openxmlformats.org/drawingml/2006/main">
          <a:off x="8283735" y="593649"/>
          <a:ext cx="1452517" cy="290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93E95348-7AA1-45D8-9094-A2781E91281B}" type="TxLink">
            <a:rPr lang="en-US" sz="14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Heel jaar</a:t>
          </a:fld>
          <a:endParaRPr lang="nl-NL" sz="20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0.6724</cdr:x>
      <cdr:y>0.00337</cdr:y>
    </cdr:from>
    <cdr:to>
      <cdr:x>0.99611</cdr:x>
      <cdr:y>0.08904</cdr:y>
    </cdr:to>
    <cdr:sp macro="" textlink="'CO2-emissie-inventaris'!#REF!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224DBEFA-63D6-42FE-ACC1-C463276D1E2D}"/>
            </a:ext>
          </a:extLst>
        </cdr:cNvPr>
        <cdr:cNvSpPr txBox="1"/>
      </cdr:nvSpPr>
      <cdr:spPr>
        <a:xfrm xmlns:a="http://schemas.openxmlformats.org/drawingml/2006/main">
          <a:off x="6578737" y="15006"/>
          <a:ext cx="3167063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04862CE4-D16A-47FB-81F8-7B5855312B23}" type="TxLink">
            <a:rPr lang="en-US" sz="1800" b="1" i="0" u="none" strike="noStrike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rPr>
            <a:pPr algn="r"/>
            <a:t> </a:t>
          </a:fld>
          <a:endParaRPr lang="nl-NL" sz="1800" b="1">
            <a:solidFill>
              <a:srgbClr val="7F7F7F"/>
            </a:solidFill>
            <a:latin typeface="Verdana" panose="020B0604030504040204" pitchFamily="34" charset="0"/>
            <a:ea typeface="Verdana" panose="020B060403050404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47</xdr:row>
      <xdr:rowOff>149621</xdr:rowOff>
    </xdr:from>
    <xdr:to>
      <xdr:col>10</xdr:col>
      <xdr:colOff>0</xdr:colOff>
      <xdr:row>63</xdr:row>
      <xdr:rowOff>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9AB1DE5-3C92-4963-BA0A-ED1F74E71E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71437</xdr:colOff>
      <xdr:row>48</xdr:row>
      <xdr:rowOff>0</xdr:rowOff>
    </xdr:from>
    <xdr:to>
      <xdr:col>22</xdr:col>
      <xdr:colOff>134142</xdr:colOff>
      <xdr:row>63</xdr:row>
      <xdr:rowOff>37704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A0604028-CB28-4E6B-A6EC-DF89D19B3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297656</xdr:colOff>
      <xdr:row>107</xdr:row>
      <xdr:rowOff>119063</xdr:rowOff>
    </xdr:from>
    <xdr:to>
      <xdr:col>10</xdr:col>
      <xdr:colOff>0</xdr:colOff>
      <xdr:row>124</xdr:row>
      <xdr:rowOff>1985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42B60D90-1E52-4D72-BD03-D8460D8B2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107</xdr:row>
      <xdr:rowOff>95250</xdr:rowOff>
    </xdr:from>
    <xdr:to>
      <xdr:col>22</xdr:col>
      <xdr:colOff>69055</xdr:colOff>
      <xdr:row>123</xdr:row>
      <xdr:rowOff>180579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E5A8E3EB-096C-4563-A019-241ADA83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142875</xdr:colOff>
      <xdr:row>1</xdr:row>
      <xdr:rowOff>0</xdr:rowOff>
    </xdr:from>
    <xdr:ext cx="654491" cy="706892"/>
    <xdr:pic>
      <xdr:nvPicPr>
        <xdr:cNvPr id="4" name="Afbeelding 3">
          <a:extLst>
            <a:ext uri="{FF2B5EF4-FFF2-40B4-BE49-F238E27FC236}">
              <a16:creationId xmlns:a16="http://schemas.microsoft.com/office/drawing/2014/main" id="{95224A46-8557-184D-873E-E147EC33E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375" y="619125"/>
          <a:ext cx="654491" cy="70689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98778</xdr:colOff>
      <xdr:row>22</xdr:row>
      <xdr:rowOff>81847</xdr:rowOff>
    </xdr:from>
    <xdr:ext cx="7327900" cy="3174999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90677E32-5C70-7F41-A75E-D94D61466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292101</xdr:colOff>
      <xdr:row>22</xdr:row>
      <xdr:rowOff>0</xdr:rowOff>
    </xdr:from>
    <xdr:ext cx="7327900" cy="3174999"/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319DF424-AF87-EB4E-B972-5E47E7B2E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twoCellAnchor>
    <xdr:from>
      <xdr:col>1</xdr:col>
      <xdr:colOff>25400</xdr:colOff>
      <xdr:row>69</xdr:row>
      <xdr:rowOff>38100</xdr:rowOff>
    </xdr:from>
    <xdr:to>
      <xdr:col>6</xdr:col>
      <xdr:colOff>285749</xdr:colOff>
      <xdr:row>85</xdr:row>
      <xdr:rowOff>158354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4E74B898-02B2-B74C-AC5B-E0EF8B5FD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203200</xdr:colOff>
      <xdr:row>69</xdr:row>
      <xdr:rowOff>38100</xdr:rowOff>
    </xdr:from>
    <xdr:to>
      <xdr:col>13</xdr:col>
      <xdr:colOff>57149</xdr:colOff>
      <xdr:row>85</xdr:row>
      <xdr:rowOff>158354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6D470A03-A554-6B4E-A2FD-3DAEB26E6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254000</xdr:colOff>
      <xdr:row>0</xdr:row>
      <xdr:rowOff>533400</xdr:rowOff>
    </xdr:from>
    <xdr:ext cx="654491" cy="706892"/>
    <xdr:pic>
      <xdr:nvPicPr>
        <xdr:cNvPr id="13" name="Afbeelding 12">
          <a:extLst>
            <a:ext uri="{FF2B5EF4-FFF2-40B4-BE49-F238E27FC236}">
              <a16:creationId xmlns:a16="http://schemas.microsoft.com/office/drawing/2014/main" id="{7E830452-AE26-1444-90D0-6E1DBA51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2600" y="533400"/>
          <a:ext cx="654491" cy="706892"/>
        </a:xfrm>
        <a:prstGeom prst="rect">
          <a:avLst/>
        </a:prstGeom>
      </xdr:spPr>
    </xdr:pic>
    <xdr:clientData/>
  </xdr:one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0.86937</cdr:x>
      <cdr:y>0.06745</cdr:y>
    </cdr:from>
    <cdr:to>
      <cdr:x>0.99509</cdr:x>
      <cdr:y>0.14259</cdr:y>
    </cdr:to>
    <cdr:sp macro="" textlink="'Omrekening naar GJ'!$C$7:$D$7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2EADC1B6-CE5A-42DA-AD81-4025BB93705B}"/>
            </a:ext>
          </a:extLst>
        </cdr:cNvPr>
        <cdr:cNvSpPr txBox="1"/>
      </cdr:nvSpPr>
      <cdr:spPr>
        <a:xfrm xmlns:a="http://schemas.openxmlformats.org/drawingml/2006/main">
          <a:off x="8505860" y="299968"/>
          <a:ext cx="1230031" cy="334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F69900EE-F469-EC43-8416-B1DB14C484EF}" type="TxLink">
            <a:rPr lang="en-US" sz="900" b="0" i="0" u="none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pPr algn="r"/>
            <a:t>2022</a:t>
          </a:fld>
          <a:endParaRPr lang="nl-NL" sz="18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0.84667</cdr:x>
      <cdr:y>0.13348</cdr:y>
    </cdr:from>
    <cdr:to>
      <cdr:x>0.99513</cdr:x>
      <cdr:y>0.19881</cdr:y>
    </cdr:to>
    <cdr:sp macro="" textlink="'Omrekening naar GJ'!$C$8:$D$8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93913480-D07A-4817-A513-CEBB56BF9471}"/>
            </a:ext>
          </a:extLst>
        </cdr:cNvPr>
        <cdr:cNvSpPr txBox="1"/>
      </cdr:nvSpPr>
      <cdr:spPr>
        <a:xfrm xmlns:a="http://schemas.openxmlformats.org/drawingml/2006/main">
          <a:off x="8283735" y="593649"/>
          <a:ext cx="1452517" cy="290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F6456C97-D5DA-0B49-8424-4209307A868F}" type="TxLink">
            <a:rPr lang="en-US" sz="900" b="0" i="0" u="none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pPr algn="r"/>
            <a:t>Heel jaar</a:t>
          </a:fld>
          <a:endParaRPr lang="nl-NL" sz="20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0.6724</cdr:x>
      <cdr:y>0.00337</cdr:y>
    </cdr:from>
    <cdr:to>
      <cdr:x>0.99611</cdr:x>
      <cdr:y>0.08904</cdr:y>
    </cdr:to>
    <cdr:sp macro="" textlink="'CO2-emissie-inventaris'!#REF!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224DBEFA-63D6-42FE-ACC1-C463276D1E2D}"/>
            </a:ext>
          </a:extLst>
        </cdr:cNvPr>
        <cdr:cNvSpPr txBox="1"/>
      </cdr:nvSpPr>
      <cdr:spPr>
        <a:xfrm xmlns:a="http://schemas.openxmlformats.org/drawingml/2006/main">
          <a:off x="6578737" y="15006"/>
          <a:ext cx="3167063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04862CE4-D16A-47FB-81F8-7B5855312B23}" type="TxLink">
            <a:rPr lang="en-US" sz="1800" b="1" i="0" u="none" strike="noStrike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rPr>
            <a:pPr algn="r"/>
            <a:t> </a:t>
          </a:fld>
          <a:endParaRPr lang="nl-NL" sz="1800" b="1">
            <a:solidFill>
              <a:srgbClr val="7F7F7F"/>
            </a:solidFill>
            <a:latin typeface="Verdana" panose="020B0604030504040204" pitchFamily="34" charset="0"/>
            <a:ea typeface="Verdana" panose="020B060403050404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0.86937</cdr:x>
      <cdr:y>0.06745</cdr:y>
    </cdr:from>
    <cdr:to>
      <cdr:x>0.99509</cdr:x>
      <cdr:y>0.14259</cdr:y>
    </cdr:to>
    <cdr:sp macro="" textlink="'Omrekening naar GJ'!$J$8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2EADC1B6-CE5A-42DA-AD81-4025BB93705B}"/>
            </a:ext>
          </a:extLst>
        </cdr:cNvPr>
        <cdr:cNvSpPr txBox="1"/>
      </cdr:nvSpPr>
      <cdr:spPr>
        <a:xfrm xmlns:a="http://schemas.openxmlformats.org/drawingml/2006/main">
          <a:off x="8505860" y="299968"/>
          <a:ext cx="1230031" cy="334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95E7074D-18AA-284E-A77B-D77D254E1F9A}" type="TxLink">
            <a:rPr lang="en-US" sz="950" b="0" i="0" u="none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pPr algn="r"/>
            <a:t>2022</a:t>
          </a:fld>
          <a:endParaRPr lang="nl-NL" sz="18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0.84667</cdr:x>
      <cdr:y>0.13348</cdr:y>
    </cdr:from>
    <cdr:to>
      <cdr:x>0.99513</cdr:x>
      <cdr:y>0.19881</cdr:y>
    </cdr:to>
    <cdr:sp macro="" textlink="'Omrekening naar GJ'!$J$9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93913480-D07A-4817-A513-CEBB56BF9471}"/>
            </a:ext>
          </a:extLst>
        </cdr:cNvPr>
        <cdr:cNvSpPr txBox="1"/>
      </cdr:nvSpPr>
      <cdr:spPr>
        <a:xfrm xmlns:a="http://schemas.openxmlformats.org/drawingml/2006/main">
          <a:off x="8283735" y="593649"/>
          <a:ext cx="1452517" cy="290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629E51E6-60E3-5C47-892A-2017584608B1}" type="TxLink">
            <a:rPr lang="en-US" sz="950" b="0" i="0" u="none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pPr algn="r"/>
            <a:t>Heel jaar</a:t>
          </a:fld>
          <a:endParaRPr lang="nl-NL" sz="20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0.6724</cdr:x>
      <cdr:y>0.00337</cdr:y>
    </cdr:from>
    <cdr:to>
      <cdr:x>0.99611</cdr:x>
      <cdr:y>0.08904</cdr:y>
    </cdr:to>
    <cdr:sp macro="" textlink="'CO2-emissie-inventaris'!#REF!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224DBEFA-63D6-42FE-ACC1-C463276D1E2D}"/>
            </a:ext>
          </a:extLst>
        </cdr:cNvPr>
        <cdr:cNvSpPr txBox="1"/>
      </cdr:nvSpPr>
      <cdr:spPr>
        <a:xfrm xmlns:a="http://schemas.openxmlformats.org/drawingml/2006/main">
          <a:off x="6578737" y="15006"/>
          <a:ext cx="3167063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04862CE4-D16A-47FB-81F8-7B5855312B23}" type="TxLink">
            <a:rPr lang="en-US" sz="1800" b="1" i="0" u="none" strike="noStrike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rPr>
            <a:pPr algn="r"/>
            <a:t> </a:t>
          </a:fld>
          <a:endParaRPr lang="nl-NL" sz="1800" b="1">
            <a:solidFill>
              <a:srgbClr val="7F7F7F"/>
            </a:solidFill>
            <a:latin typeface="Verdana" panose="020B0604030504040204" pitchFamily="34" charset="0"/>
            <a:ea typeface="Verdana" panose="020B060403050404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261936</xdr:colOff>
      <xdr:row>0</xdr:row>
      <xdr:rowOff>550861</xdr:rowOff>
    </xdr:from>
    <xdr:to>
      <xdr:col>19</xdr:col>
      <xdr:colOff>553498</xdr:colOff>
      <xdr:row>17</xdr:row>
      <xdr:rowOff>152400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C1E4969-6FEB-4536-A632-6E9262FCC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253206</xdr:colOff>
      <xdr:row>18</xdr:row>
      <xdr:rowOff>199231</xdr:rowOff>
    </xdr:from>
    <xdr:to>
      <xdr:col>19</xdr:col>
      <xdr:colOff>538418</xdr:colOff>
      <xdr:row>36</xdr:row>
      <xdr:rowOff>165100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75017E6C-7709-47F4-AE96-E7F11E1A3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620712</xdr:colOff>
      <xdr:row>19</xdr:row>
      <xdr:rowOff>35719</xdr:rowOff>
    </xdr:from>
    <xdr:to>
      <xdr:col>40</xdr:col>
      <xdr:colOff>253822</xdr:colOff>
      <xdr:row>35</xdr:row>
      <xdr:rowOff>114300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D62EE62A-CCA5-45C4-87C1-AAE21D5D0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42333</xdr:colOff>
      <xdr:row>0</xdr:row>
      <xdr:rowOff>507999</xdr:rowOff>
    </xdr:from>
    <xdr:ext cx="654491" cy="706892"/>
    <xdr:pic>
      <xdr:nvPicPr>
        <xdr:cNvPr id="7" name="Afbeelding 6">
          <a:extLst>
            <a:ext uri="{FF2B5EF4-FFF2-40B4-BE49-F238E27FC236}">
              <a16:creationId xmlns:a16="http://schemas.microsoft.com/office/drawing/2014/main" id="{7E3791DF-6638-7B42-93D1-2978EFF0D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0" y="507999"/>
          <a:ext cx="654491" cy="706892"/>
        </a:xfrm>
        <a:prstGeom prst="rect">
          <a:avLst/>
        </a:prstGeom>
      </xdr:spPr>
    </xdr:pic>
    <xdr:clientData/>
  </xdr:oneCellAnchor>
  <xdr:twoCellAnchor>
    <xdr:from>
      <xdr:col>29</xdr:col>
      <xdr:colOff>635000</xdr:colOff>
      <xdr:row>0</xdr:row>
      <xdr:rowOff>596900</xdr:rowOff>
    </xdr:from>
    <xdr:to>
      <xdr:col>40</xdr:col>
      <xdr:colOff>266162</xdr:colOff>
      <xdr:row>18</xdr:row>
      <xdr:rowOff>88900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36FDC2F5-9C2F-DF4B-8265-43C45A742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50800</xdr:colOff>
      <xdr:row>0</xdr:row>
      <xdr:rowOff>482600</xdr:rowOff>
    </xdr:from>
    <xdr:ext cx="654491" cy="706892"/>
    <xdr:pic>
      <xdr:nvPicPr>
        <xdr:cNvPr id="3" name="Afbeelding 2">
          <a:extLst>
            <a:ext uri="{FF2B5EF4-FFF2-40B4-BE49-F238E27FC236}">
              <a16:creationId xmlns:a16="http://schemas.microsoft.com/office/drawing/2014/main" id="{E8E52695-38CA-674C-965E-0EBE2BB2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200" y="482600"/>
          <a:ext cx="654491" cy="70689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ope%203%20kwantitatief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hdelfland.sharepoint.com/sites/CO2-prestatieladder/Gedeelde%20documenten/General/CO2prestatieladder/CO2%20PL%20verslagjaar%202022/Dossier/CO2-footprint%20&amp;%20voortgang%20reductie%20Delfl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Kwantitatieve analyse"/>
      <sheetName val="Voortgang"/>
      <sheetName val="Data"/>
      <sheetName val="Input keuzevariabelen"/>
      <sheetName val="Leverancierslijst"/>
      <sheetName val="Uitleg categorieën GHG"/>
      <sheetName val="Categorieë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prints"/>
      <sheetName val="Energieverbruik in GJ"/>
      <sheetName val="Voortgang"/>
      <sheetName val="Data"/>
      <sheetName val="Input keuzevariabelen"/>
      <sheetName val="Energiebeoordelingen"/>
    </sheetNames>
    <sheetDataSet>
      <sheetData sheetId="0">
        <row r="14">
          <cell r="E14">
            <v>2022</v>
          </cell>
        </row>
        <row r="45">
          <cell r="I45" t="str">
            <v>Biogas inzet WKK</v>
          </cell>
        </row>
        <row r="46">
          <cell r="I46" t="str">
            <v>Biogas afgefakkeld</v>
          </cell>
        </row>
      </sheetData>
      <sheetData sheetId="1"/>
      <sheetData sheetId="2"/>
      <sheetData sheetId="3"/>
      <sheetData sheetId="4">
        <row r="11">
          <cell r="E11" t="str">
            <v>Gasverbruik</v>
          </cell>
          <cell r="H11">
            <v>1890</v>
          </cell>
          <cell r="J11">
            <v>2019</v>
          </cell>
        </row>
        <row r="12">
          <cell r="E12" t="str">
            <v>Brandstofverbruik - diesel</v>
          </cell>
          <cell r="H12">
            <v>3309</v>
          </cell>
          <cell r="J12">
            <v>2019</v>
          </cell>
        </row>
        <row r="13">
          <cell r="E13" t="str">
            <v>Brandstofverbruik - benzine</v>
          </cell>
          <cell r="H13">
            <v>2884</v>
          </cell>
          <cell r="J13">
            <v>2019</v>
          </cell>
        </row>
        <row r="14">
          <cell r="E14" t="str">
            <v>Brandstofverbruik - cng</v>
          </cell>
          <cell r="H14">
            <v>2728</v>
          </cell>
          <cell r="J14">
            <v>2019</v>
          </cell>
        </row>
        <row r="15">
          <cell r="E15" t="str">
            <v>Verbruik elektrische auto's - kilometers</v>
          </cell>
          <cell r="H15">
            <v>107</v>
          </cell>
          <cell r="J15">
            <v>2019</v>
          </cell>
        </row>
        <row r="16">
          <cell r="E16" t="str">
            <v>AdBlue</v>
          </cell>
          <cell r="H16">
            <v>260</v>
          </cell>
          <cell r="J16">
            <v>2019</v>
          </cell>
        </row>
        <row r="17">
          <cell r="E17" t="str">
            <v>Biogas gespuid</v>
          </cell>
          <cell r="H17">
            <v>11050</v>
          </cell>
          <cell r="J17">
            <v>2019</v>
          </cell>
        </row>
        <row r="18">
          <cell r="E18" t="str">
            <v>Elektriciteitsverbruik - grijze stroom</v>
          </cell>
          <cell r="H18">
            <v>649</v>
          </cell>
          <cell r="J18">
            <v>2019</v>
          </cell>
        </row>
        <row r="19">
          <cell r="E19" t="str">
            <v>Elektriciteitsverbruik - groene stroom</v>
          </cell>
          <cell r="H19">
            <v>0</v>
          </cell>
          <cell r="J19">
            <v>2019</v>
          </cell>
        </row>
        <row r="20">
          <cell r="E20" t="str">
            <v>Elektriciteitsverbruik - wagens</v>
          </cell>
          <cell r="H20">
            <v>649</v>
          </cell>
          <cell r="J20">
            <v>2019</v>
          </cell>
        </row>
        <row r="21">
          <cell r="E21" t="str">
            <v>Verbruik elektrische auto's - kilometers (groene stroom)</v>
          </cell>
          <cell r="H21">
            <v>0</v>
          </cell>
          <cell r="J21">
            <v>2019</v>
          </cell>
        </row>
        <row r="22">
          <cell r="E22" t="str">
            <v>Warmte</v>
          </cell>
          <cell r="H22">
            <v>35970</v>
          </cell>
          <cell r="J22">
            <v>2019</v>
          </cell>
        </row>
        <row r="23">
          <cell r="E23" t="str">
            <v>Zakelijk vervoer - gedeclareerde kilometers</v>
          </cell>
          <cell r="H23">
            <v>220</v>
          </cell>
          <cell r="J23">
            <v>2019</v>
          </cell>
        </row>
        <row r="24">
          <cell r="E24" t="str">
            <v>Zakelijk vervoer - openbaar vervoer</v>
          </cell>
          <cell r="H24">
            <v>36</v>
          </cell>
          <cell r="J24">
            <v>2019</v>
          </cell>
        </row>
        <row r="25">
          <cell r="E25" t="str">
            <v>Zakelijk vervoer - treinkilometers</v>
          </cell>
          <cell r="H25">
            <v>6</v>
          </cell>
          <cell r="J25">
            <v>2019</v>
          </cell>
        </row>
        <row r="26">
          <cell r="E26" t="str">
            <v>Vliegreizen &lt;700 km</v>
          </cell>
          <cell r="H26">
            <v>297</v>
          </cell>
          <cell r="J26">
            <v>2019</v>
          </cell>
        </row>
        <row r="27">
          <cell r="E27" t="str">
            <v>Vliegreizen 700-2500 km</v>
          </cell>
          <cell r="H27">
            <v>200</v>
          </cell>
          <cell r="J27">
            <v>2019</v>
          </cell>
        </row>
        <row r="28">
          <cell r="E28" t="str">
            <v>Vliegreizen &gt;2500 km</v>
          </cell>
          <cell r="H28">
            <v>147</v>
          </cell>
          <cell r="J28">
            <v>2019</v>
          </cell>
        </row>
        <row r="29">
          <cell r="E29" t="str">
            <v>Biogas afgefakkeld</v>
          </cell>
          <cell r="H29">
            <v>1962</v>
          </cell>
          <cell r="J29">
            <v>2019</v>
          </cell>
        </row>
        <row r="30">
          <cell r="E30" t="str">
            <v>Biogas inzet WKK</v>
          </cell>
          <cell r="H30">
            <v>1962</v>
          </cell>
          <cell r="J30">
            <v>2019</v>
          </cell>
        </row>
        <row r="31">
          <cell r="E31" t="str">
            <v>Biomassa</v>
          </cell>
          <cell r="H31">
            <v>0.1096</v>
          </cell>
          <cell r="J31">
            <v>2019</v>
          </cell>
        </row>
        <row r="32">
          <cell r="E32" t="str">
            <v>Hoeveelheid verpompt afvalwater</v>
          </cell>
          <cell r="H32"/>
          <cell r="J32"/>
        </row>
        <row r="33">
          <cell r="E33" t="str">
            <v>Transport afvalwater</v>
          </cell>
          <cell r="H33"/>
          <cell r="J33"/>
        </row>
        <row r="34">
          <cell r="E34" t="str">
            <v>Zuiveren afvalwater</v>
          </cell>
          <cell r="H34"/>
          <cell r="J34"/>
        </row>
        <row r="35">
          <cell r="E35" t="str">
            <v>Neerslag</v>
          </cell>
          <cell r="H35"/>
          <cell r="J35"/>
        </row>
        <row r="36">
          <cell r="E36" t="str">
            <v>Inwonerequivalent</v>
          </cell>
          <cell r="H36"/>
          <cell r="J36"/>
        </row>
        <row r="37">
          <cell r="E37" t="str">
            <v>Gereden kilometers</v>
          </cell>
          <cell r="H37"/>
          <cell r="J37"/>
        </row>
        <row r="38">
          <cell r="E38" t="str">
            <v>Slibontwatering</v>
          </cell>
          <cell r="H38"/>
          <cell r="J38"/>
        </row>
        <row r="39">
          <cell r="E39" t="str">
            <v>Gasverbruik</v>
          </cell>
          <cell r="H39">
            <v>1884</v>
          </cell>
          <cell r="J39">
            <v>2020</v>
          </cell>
        </row>
        <row r="40">
          <cell r="E40" t="str">
            <v>Brandstofverbruik - diesel</v>
          </cell>
          <cell r="H40">
            <v>3262</v>
          </cell>
          <cell r="J40">
            <v>2020</v>
          </cell>
        </row>
        <row r="41">
          <cell r="E41" t="str">
            <v>Brandstofverbruik - benzine</v>
          </cell>
          <cell r="H41">
            <v>2784</v>
          </cell>
          <cell r="J41">
            <v>2020</v>
          </cell>
        </row>
        <row r="42">
          <cell r="E42" t="str">
            <v>Brandstofverbruik - cng</v>
          </cell>
          <cell r="H42">
            <v>2728</v>
          </cell>
          <cell r="J42">
            <v>2020</v>
          </cell>
        </row>
        <row r="43">
          <cell r="E43" t="str">
            <v>Verbruik elektrische auto's - kilometers</v>
          </cell>
          <cell r="H43">
            <v>92</v>
          </cell>
          <cell r="J43">
            <v>2020</v>
          </cell>
        </row>
        <row r="44">
          <cell r="E44" t="str">
            <v>Verbruik hybride benzine - kilometers</v>
          </cell>
          <cell r="H44">
            <v>145</v>
          </cell>
          <cell r="J44">
            <v>2020</v>
          </cell>
        </row>
        <row r="45">
          <cell r="E45" t="str">
            <v>Verbruik hybride diesel - kilometers</v>
          </cell>
          <cell r="H45">
            <v>209</v>
          </cell>
          <cell r="J45">
            <v>2020</v>
          </cell>
        </row>
        <row r="46">
          <cell r="E46" t="str">
            <v>AdBlue</v>
          </cell>
          <cell r="H46">
            <v>260</v>
          </cell>
          <cell r="J46">
            <v>2020</v>
          </cell>
        </row>
        <row r="47">
          <cell r="E47" t="str">
            <v>Biogas gespuid</v>
          </cell>
          <cell r="H47">
            <v>11050</v>
          </cell>
          <cell r="J47">
            <v>2020</v>
          </cell>
        </row>
        <row r="48">
          <cell r="E48" t="str">
            <v>Elektriciteitsverbruik - grijze stroom</v>
          </cell>
          <cell r="H48">
            <v>556</v>
          </cell>
          <cell r="J48">
            <v>2020</v>
          </cell>
        </row>
        <row r="49">
          <cell r="E49" t="str">
            <v>Elektriciteitsverbruik - groene stroom</v>
          </cell>
          <cell r="H49">
            <v>0</v>
          </cell>
          <cell r="J49">
            <v>2020</v>
          </cell>
        </row>
        <row r="50">
          <cell r="E50" t="str">
            <v>Elektriciteitsverbruik - wagens</v>
          </cell>
          <cell r="H50">
            <v>556</v>
          </cell>
          <cell r="J50">
            <v>2020</v>
          </cell>
        </row>
        <row r="51">
          <cell r="E51" t="str">
            <v>Warmte</v>
          </cell>
          <cell r="H51">
            <v>35970</v>
          </cell>
          <cell r="J51">
            <v>2020</v>
          </cell>
        </row>
        <row r="52">
          <cell r="E52" t="str">
            <v>Zakelijk vervoer - gedeclareerde kilometers</v>
          </cell>
          <cell r="H52">
            <v>195</v>
          </cell>
          <cell r="J52">
            <v>2020</v>
          </cell>
        </row>
        <row r="53">
          <cell r="E53" t="str">
            <v>Zakelijk vervoer - openbaar vervoer</v>
          </cell>
          <cell r="H53">
            <v>36</v>
          </cell>
          <cell r="J53">
            <v>2020</v>
          </cell>
        </row>
        <row r="54">
          <cell r="E54" t="str">
            <v>Zakelijk vervoer - treinkilometers</v>
          </cell>
          <cell r="H54">
            <v>6</v>
          </cell>
          <cell r="J54">
            <v>2020</v>
          </cell>
        </row>
        <row r="55">
          <cell r="E55" t="str">
            <v>Vliegreizen &lt;700 km</v>
          </cell>
          <cell r="H55">
            <v>297</v>
          </cell>
          <cell r="J55">
            <v>2020</v>
          </cell>
        </row>
        <row r="56">
          <cell r="E56" t="str">
            <v>Vliegreizen 700-2500 km</v>
          </cell>
          <cell r="H56">
            <v>200</v>
          </cell>
          <cell r="J56">
            <v>2020</v>
          </cell>
        </row>
        <row r="57">
          <cell r="E57" t="str">
            <v>Vliegreizen &gt;2500 km</v>
          </cell>
          <cell r="H57">
            <v>147</v>
          </cell>
          <cell r="J57">
            <v>2020</v>
          </cell>
        </row>
        <row r="58">
          <cell r="E58" t="str">
            <v>Biomassa</v>
          </cell>
          <cell r="H58">
            <v>0.1096</v>
          </cell>
          <cell r="J58">
            <v>2020</v>
          </cell>
        </row>
        <row r="59">
          <cell r="E59" t="str">
            <v>Biogas afgefakkeld</v>
          </cell>
          <cell r="H59">
            <v>1962</v>
          </cell>
          <cell r="J59">
            <v>2020</v>
          </cell>
        </row>
        <row r="60">
          <cell r="E60" t="str">
            <v>Biogas inzet WKK</v>
          </cell>
          <cell r="H60">
            <v>1962</v>
          </cell>
          <cell r="J60">
            <v>2020</v>
          </cell>
        </row>
        <row r="61">
          <cell r="E61" t="str">
            <v>Gasverbruik</v>
          </cell>
          <cell r="H61">
            <v>1884</v>
          </cell>
          <cell r="J61">
            <v>2021</v>
          </cell>
        </row>
        <row r="62">
          <cell r="E62" t="str">
            <v>Brandstofverbruik - diesel</v>
          </cell>
          <cell r="H62">
            <v>3262</v>
          </cell>
          <cell r="J62">
            <v>2021</v>
          </cell>
        </row>
        <row r="63">
          <cell r="E63" t="str">
            <v>Brandstofverbruik - benzine</v>
          </cell>
          <cell r="H63">
            <v>2784</v>
          </cell>
          <cell r="J63">
            <v>2021</v>
          </cell>
        </row>
        <row r="64">
          <cell r="E64" t="str">
            <v>Brandstofverbruik - cng</v>
          </cell>
          <cell r="H64">
            <v>2633</v>
          </cell>
          <cell r="J64">
            <v>2021</v>
          </cell>
        </row>
        <row r="65">
          <cell r="E65" t="str">
            <v>Brandstofverbruik - lpg</v>
          </cell>
          <cell r="H65">
            <v>1798</v>
          </cell>
          <cell r="J65">
            <v>2021</v>
          </cell>
        </row>
        <row r="66">
          <cell r="E66" t="str">
            <v>Verbruik elektrische auto's - kilometers</v>
          </cell>
          <cell r="H66">
            <v>92</v>
          </cell>
          <cell r="J66">
            <v>2021</v>
          </cell>
        </row>
        <row r="67">
          <cell r="E67" t="str">
            <v>AdBlue</v>
          </cell>
          <cell r="H67">
            <v>260</v>
          </cell>
          <cell r="J67">
            <v>2021</v>
          </cell>
        </row>
        <row r="68">
          <cell r="E68" t="str">
            <v>Biogas gespuid</v>
          </cell>
          <cell r="H68">
            <v>11607</v>
          </cell>
          <cell r="J68">
            <v>2021</v>
          </cell>
        </row>
        <row r="69">
          <cell r="E69" t="str">
            <v>Elektriciteitsverbruik - grijze stroom</v>
          </cell>
          <cell r="H69">
            <v>556</v>
          </cell>
          <cell r="J69">
            <v>2021</v>
          </cell>
        </row>
        <row r="70">
          <cell r="E70" t="str">
            <v>Elektriciteitsverbruik - groene stroom</v>
          </cell>
          <cell r="H70">
            <v>0</v>
          </cell>
          <cell r="J70">
            <v>2021</v>
          </cell>
        </row>
        <row r="71">
          <cell r="E71" t="str">
            <v>Elektriciteitsverbruik - wagens</v>
          </cell>
          <cell r="H71">
            <v>556</v>
          </cell>
          <cell r="J71">
            <v>2021</v>
          </cell>
        </row>
        <row r="72">
          <cell r="E72" t="str">
            <v>Warmte</v>
          </cell>
          <cell r="H72">
            <v>35970</v>
          </cell>
          <cell r="J72">
            <v>2021</v>
          </cell>
        </row>
        <row r="73">
          <cell r="E73" t="str">
            <v>Zakelijk vervoer - gedeclareerde kilometers</v>
          </cell>
          <cell r="H73">
            <v>195</v>
          </cell>
          <cell r="J73">
            <v>2021</v>
          </cell>
        </row>
        <row r="74">
          <cell r="E74" t="str">
            <v>Zakelijk vervoer - openbaar vervoer</v>
          </cell>
          <cell r="H74">
            <v>15</v>
          </cell>
          <cell r="J74">
            <v>2021</v>
          </cell>
        </row>
        <row r="75">
          <cell r="E75" t="str">
            <v>Zakelijk vervoer - treinkilometers</v>
          </cell>
          <cell r="H75">
            <v>2</v>
          </cell>
          <cell r="J75">
            <v>2021</v>
          </cell>
        </row>
        <row r="76">
          <cell r="E76" t="str">
            <v>Vliegreizen &lt;700 km</v>
          </cell>
          <cell r="H76">
            <v>297</v>
          </cell>
          <cell r="J76">
            <v>2021</v>
          </cell>
        </row>
        <row r="77">
          <cell r="E77" t="str">
            <v>Vliegreizen 700-2500 km</v>
          </cell>
          <cell r="H77">
            <v>200</v>
          </cell>
          <cell r="J77">
            <v>2021</v>
          </cell>
        </row>
        <row r="78">
          <cell r="E78" t="str">
            <v>Vliegreizen &gt;2500 km</v>
          </cell>
          <cell r="H78">
            <v>147</v>
          </cell>
          <cell r="J78">
            <v>2021</v>
          </cell>
        </row>
        <row r="79">
          <cell r="E79" t="str">
            <v>Biomassa</v>
          </cell>
          <cell r="H79">
            <v>0.1096</v>
          </cell>
          <cell r="J79">
            <v>2021</v>
          </cell>
        </row>
        <row r="80">
          <cell r="E80" t="str">
            <v>Biogas afgefakkeld</v>
          </cell>
          <cell r="H80">
            <v>1962</v>
          </cell>
          <cell r="J80">
            <v>2021</v>
          </cell>
        </row>
        <row r="81">
          <cell r="E81" t="str">
            <v>Biogas inzet WKK</v>
          </cell>
          <cell r="H81">
            <v>1962</v>
          </cell>
          <cell r="J81">
            <v>2021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Sheets">
  <a:themeElements>
    <a:clrScheme name="De Duurzame Adviseurs">
      <a:dk1>
        <a:sysClr val="windowText" lastClr="000000"/>
      </a:dk1>
      <a:lt1>
        <a:sysClr val="window" lastClr="FFFFFF"/>
      </a:lt1>
      <a:dk2>
        <a:srgbClr val="267E29"/>
      </a:dk2>
      <a:lt2>
        <a:srgbClr val="F2F2F2"/>
      </a:lt2>
      <a:accent1>
        <a:srgbClr val="D99694"/>
      </a:accent1>
      <a:accent2>
        <a:srgbClr val="6ABD92"/>
      </a:accent2>
      <a:accent3>
        <a:srgbClr val="4BACC6"/>
      </a:accent3>
      <a:accent4>
        <a:srgbClr val="FAC08F"/>
      </a:accent4>
      <a:accent5>
        <a:srgbClr val="C3D69B"/>
      </a:accent5>
      <a:accent6>
        <a:srgbClr val="95B3D7"/>
      </a:accent6>
      <a:hlink>
        <a:srgbClr val="0000FF"/>
      </a:hlink>
      <a:folHlink>
        <a:srgbClr val="800080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947"/>
  <sheetViews>
    <sheetView showGridLines="0" topLeftCell="A3" zoomScale="92" zoomScaleNormal="92" workbookViewId="0">
      <selection activeCell="B14" sqref="B14:F47"/>
    </sheetView>
    <sheetView workbookViewId="1">
      <selection activeCell="A19" sqref="A19"/>
    </sheetView>
  </sheetViews>
  <sheetFormatPr defaultColWidth="0" defaultRowHeight="15" customHeight="1" x14ac:dyDescent="0.2"/>
  <cols>
    <col min="1" max="1" width="7.5" style="31" customWidth="1"/>
    <col min="2" max="2" width="58.125" style="31" customWidth="1"/>
    <col min="3" max="3" width="35.5" style="31" customWidth="1"/>
    <col min="4" max="4" width="10" style="31" bestFit="1" customWidth="1"/>
    <col min="5" max="5" width="31.625" style="31" customWidth="1"/>
    <col min="6" max="6" width="14.375" style="31" customWidth="1"/>
    <col min="7" max="7" width="8.5" style="37" customWidth="1"/>
    <col min="8" max="8" width="8.5" style="2" customWidth="1"/>
    <col min="9" max="9" width="50.375" style="31" bestFit="1" customWidth="1"/>
    <col min="10" max="10" width="26" style="31" customWidth="1"/>
    <col min="11" max="11" width="10" style="31" bestFit="1" customWidth="1"/>
    <col min="12" max="12" width="26" style="31" bestFit="1" customWidth="1"/>
    <col min="13" max="13" width="13.5" style="31" customWidth="1"/>
    <col min="14" max="14" width="8.5" style="31" customWidth="1"/>
    <col min="15" max="31" width="11.375" style="31" customWidth="1"/>
    <col min="32" max="33" width="11.375" style="2" customWidth="1"/>
    <col min="34" max="52" width="0" style="2" hidden="1" customWidth="1"/>
    <col min="53" max="71" width="0" style="31" hidden="1" customWidth="1"/>
    <col min="72" max="16384" width="12.5" style="31" hidden="1"/>
  </cols>
  <sheetData>
    <row r="1" spans="1:19" ht="49.5" customHeight="1" x14ac:dyDescent="0.2">
      <c r="A1" s="1"/>
      <c r="B1" s="1"/>
      <c r="C1" s="1"/>
      <c r="D1" s="1"/>
      <c r="E1" s="1"/>
      <c r="F1" s="1"/>
      <c r="G1" s="36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49.5" customHeight="1" x14ac:dyDescent="0.2">
      <c r="A2" s="1"/>
      <c r="B2" s="339" t="s">
        <v>0</v>
      </c>
      <c r="C2" s="339"/>
      <c r="D2" s="1"/>
      <c r="E2"/>
      <c r="F2" s="1"/>
      <c r="G2" s="36"/>
      <c r="I2" s="2"/>
      <c r="J2" s="2"/>
      <c r="K2" s="263"/>
      <c r="L2" s="263"/>
      <c r="M2" s="263"/>
      <c r="N2" s="1"/>
      <c r="O2" s="1"/>
      <c r="P2" s="1"/>
      <c r="Q2" s="1"/>
      <c r="R2" s="1"/>
      <c r="S2" s="1"/>
    </row>
    <row r="3" spans="1:19" ht="15.75" customHeight="1" x14ac:dyDescent="0.2">
      <c r="A3" s="1"/>
      <c r="B3" s="1"/>
      <c r="C3" s="1"/>
      <c r="D3" s="1"/>
      <c r="E3" s="1"/>
      <c r="F3" s="1"/>
      <c r="G3" s="36"/>
      <c r="I3" s="2"/>
      <c r="J3" s="2"/>
      <c r="K3" s="1"/>
      <c r="L3" s="1"/>
      <c r="M3" s="1"/>
      <c r="N3" s="1"/>
      <c r="O3" s="1"/>
      <c r="P3" s="1"/>
      <c r="Q3" s="1"/>
      <c r="R3" s="1"/>
      <c r="S3" s="1"/>
    </row>
    <row r="4" spans="1:19" ht="18" customHeight="1" x14ac:dyDescent="0.2">
      <c r="A4" s="1"/>
      <c r="B4" s="12" t="s">
        <v>1</v>
      </c>
      <c r="C4" s="3" t="s">
        <v>2</v>
      </c>
      <c r="D4" s="1"/>
      <c r="E4" s="1"/>
      <c r="F4" s="1"/>
      <c r="G4" s="36"/>
      <c r="I4" s="2"/>
      <c r="J4" s="2"/>
      <c r="K4" s="1"/>
      <c r="L4" s="1"/>
      <c r="M4" s="3"/>
      <c r="N4" s="264"/>
      <c r="O4" s="17"/>
      <c r="P4" s="3"/>
      <c r="Q4" s="3"/>
      <c r="R4" s="3"/>
      <c r="S4" s="17"/>
    </row>
    <row r="5" spans="1:19" ht="18" customHeight="1" x14ac:dyDescent="0.2">
      <c r="A5" s="1"/>
      <c r="B5" s="4" t="s">
        <v>3</v>
      </c>
      <c r="C5" s="4" t="s">
        <v>4</v>
      </c>
      <c r="D5" s="1"/>
      <c r="E5" s="1"/>
      <c r="F5" s="1"/>
      <c r="G5" s="36"/>
      <c r="I5" s="2"/>
      <c r="J5" s="2"/>
      <c r="K5" s="1"/>
      <c r="L5" s="1"/>
      <c r="M5" s="4"/>
      <c r="N5" s="265"/>
      <c r="O5" s="17"/>
      <c r="P5" s="4"/>
      <c r="Q5" s="4"/>
      <c r="R5" s="4"/>
      <c r="S5" s="266"/>
    </row>
    <row r="6" spans="1:19" ht="22.7" customHeight="1" thickBot="1" x14ac:dyDescent="0.25">
      <c r="A6" s="1"/>
      <c r="B6" s="1"/>
      <c r="C6" s="1"/>
      <c r="D6" s="1"/>
      <c r="E6" s="1"/>
      <c r="F6" s="1"/>
      <c r="G6" s="36"/>
      <c r="I6" s="1"/>
      <c r="J6" s="267"/>
      <c r="K6" s="1"/>
      <c r="L6" s="266"/>
      <c r="M6" s="266"/>
      <c r="N6" s="266"/>
      <c r="O6" s="266"/>
      <c r="P6" s="5"/>
      <c r="Q6" s="5"/>
      <c r="R6" s="5"/>
      <c r="S6" s="1"/>
    </row>
    <row r="7" spans="1:19" ht="20.45" customHeight="1" thickTop="1" thickBot="1" x14ac:dyDescent="0.35">
      <c r="A7" s="1"/>
      <c r="B7" s="342" t="s">
        <v>5</v>
      </c>
      <c r="C7" s="343"/>
      <c r="D7" s="2"/>
      <c r="E7" s="2"/>
      <c r="F7" s="2"/>
      <c r="G7" s="35"/>
      <c r="I7" s="340" t="s">
        <v>6</v>
      </c>
      <c r="J7" s="341"/>
      <c r="K7" s="1"/>
      <c r="L7" s="1"/>
      <c r="M7" s="1"/>
      <c r="N7" s="2"/>
      <c r="O7" s="2"/>
      <c r="P7" s="2"/>
      <c r="Q7" s="2"/>
      <c r="R7" s="2"/>
      <c r="S7" s="2"/>
    </row>
    <row r="8" spans="1:19" ht="15.75" customHeight="1" thickTop="1" thickBot="1" x14ac:dyDescent="0.25">
      <c r="A8" s="1"/>
      <c r="B8" s="44" t="s">
        <v>7</v>
      </c>
      <c r="C8" s="45" t="s">
        <v>8</v>
      </c>
      <c r="D8" s="2"/>
      <c r="E8" s="2"/>
      <c r="F8" s="2"/>
      <c r="G8" s="35"/>
      <c r="I8" s="44" t="s">
        <v>7</v>
      </c>
      <c r="J8" s="45" t="s">
        <v>8</v>
      </c>
      <c r="K8" s="1"/>
      <c r="L8" s="1"/>
      <c r="M8" s="1"/>
      <c r="N8" s="2"/>
      <c r="O8" s="2"/>
      <c r="P8" s="2"/>
      <c r="Q8" s="2"/>
      <c r="R8" s="2"/>
      <c r="S8" s="2"/>
    </row>
    <row r="9" spans="1:19" ht="15.75" customHeight="1" thickTop="1" thickBot="1" x14ac:dyDescent="0.25">
      <c r="A9" s="1"/>
      <c r="B9" s="40" t="s">
        <v>9</v>
      </c>
      <c r="C9" s="133">
        <v>2022</v>
      </c>
      <c r="D9" s="2"/>
      <c r="E9" s="2"/>
      <c r="F9" s="2"/>
      <c r="G9" s="35"/>
      <c r="I9" s="38" t="s">
        <v>10</v>
      </c>
      <c r="J9" s="39" t="s">
        <v>11</v>
      </c>
      <c r="K9" s="1"/>
      <c r="L9" s="1"/>
      <c r="M9" s="1"/>
      <c r="N9" s="2"/>
      <c r="O9" s="2"/>
      <c r="P9" s="2"/>
      <c r="Q9" s="2"/>
      <c r="R9" s="2"/>
      <c r="S9" s="2"/>
    </row>
    <row r="10" spans="1:19" ht="15.75" customHeight="1" thickBot="1" x14ac:dyDescent="0.25">
      <c r="A10" s="1"/>
      <c r="B10" s="42" t="s">
        <v>12</v>
      </c>
      <c r="C10" s="43" t="s">
        <v>13</v>
      </c>
      <c r="D10" s="2"/>
      <c r="E10" s="2"/>
      <c r="F10" s="2"/>
      <c r="G10" s="35"/>
      <c r="I10" s="40" t="s">
        <v>9</v>
      </c>
      <c r="J10" s="41">
        <v>2022</v>
      </c>
      <c r="K10" s="1"/>
      <c r="L10" s="1"/>
      <c r="M10" s="1"/>
      <c r="N10" s="2"/>
      <c r="O10" s="2"/>
      <c r="P10" s="2"/>
      <c r="Q10" s="2"/>
      <c r="R10" s="2"/>
      <c r="S10" s="2"/>
    </row>
    <row r="11" spans="1:19" ht="15.75" customHeight="1" thickTop="1" thickBot="1" x14ac:dyDescent="0.25">
      <c r="A11" s="1"/>
      <c r="B11" s="2"/>
      <c r="C11" s="2"/>
      <c r="D11" s="2"/>
      <c r="E11" s="2"/>
      <c r="F11" s="2"/>
      <c r="G11" s="35"/>
      <c r="I11" s="46" t="s">
        <v>12</v>
      </c>
      <c r="J11" s="47" t="s">
        <v>13</v>
      </c>
      <c r="K11" s="1"/>
      <c r="L11" s="1"/>
      <c r="M11" s="1"/>
      <c r="N11" s="2"/>
      <c r="O11" s="2"/>
      <c r="P11" s="2"/>
      <c r="Q11" s="2"/>
      <c r="R11" s="2"/>
      <c r="S11" s="2"/>
    </row>
    <row r="12" spans="1:19" ht="15.75" customHeight="1" thickTop="1" x14ac:dyDescent="0.2">
      <c r="A12" s="1"/>
      <c r="B12" s="2"/>
      <c r="C12" s="2"/>
      <c r="D12" s="2"/>
      <c r="E12" s="2"/>
      <c r="F12" s="2"/>
      <c r="G12" s="35"/>
      <c r="I12" s="1"/>
      <c r="J12" s="1"/>
      <c r="K12" s="1"/>
      <c r="L12" s="1"/>
      <c r="M12" s="1"/>
      <c r="N12" s="2"/>
      <c r="O12" s="2"/>
      <c r="P12" s="2"/>
      <c r="Q12" s="2"/>
      <c r="R12" s="2"/>
      <c r="S12" s="2"/>
    </row>
    <row r="13" spans="1:19" ht="15.75" customHeight="1" thickBot="1" x14ac:dyDescent="0.25">
      <c r="A13" s="1"/>
      <c r="B13" s="2"/>
      <c r="C13" s="2"/>
      <c r="D13" s="2"/>
      <c r="E13" s="2"/>
      <c r="F13" s="2"/>
      <c r="G13" s="35"/>
      <c r="I13" s="1"/>
      <c r="J13" s="1"/>
      <c r="K13" s="1"/>
      <c r="L13" s="1"/>
      <c r="M13" s="1"/>
      <c r="N13" s="2"/>
      <c r="O13" s="2"/>
      <c r="P13" s="2"/>
      <c r="Q13" s="2"/>
      <c r="R13" s="2"/>
      <c r="S13" s="2"/>
    </row>
    <row r="14" spans="1:19" ht="33.75" customHeight="1" thickTop="1" thickBot="1" x14ac:dyDescent="0.25">
      <c r="A14" s="1"/>
      <c r="B14" s="344" t="s">
        <v>14</v>
      </c>
      <c r="C14" s="345"/>
      <c r="D14" s="310"/>
      <c r="E14" s="310">
        <f>C9</f>
        <v>2022</v>
      </c>
      <c r="F14" s="311" t="str">
        <f>C10</f>
        <v>Heel jaar</v>
      </c>
      <c r="G14" s="35"/>
      <c r="I14" s="344" t="s">
        <v>15</v>
      </c>
      <c r="J14" s="345"/>
      <c r="K14" s="310"/>
      <c r="L14" s="310">
        <f>J10</f>
        <v>2022</v>
      </c>
      <c r="M14" s="311" t="str">
        <f>J11</f>
        <v>Heel jaar</v>
      </c>
      <c r="N14" s="2"/>
      <c r="O14" s="2"/>
      <c r="P14" s="2"/>
      <c r="Q14" s="2"/>
      <c r="R14" s="2"/>
      <c r="S14" s="2"/>
    </row>
    <row r="15" spans="1:19" ht="36" customHeight="1" thickTop="1" thickBot="1" x14ac:dyDescent="0.25">
      <c r="A15" s="1"/>
      <c r="B15" s="57" t="s">
        <v>16</v>
      </c>
      <c r="C15" s="55" t="s">
        <v>17</v>
      </c>
      <c r="D15" s="55" t="s">
        <v>18</v>
      </c>
      <c r="E15" s="56" t="s">
        <v>19</v>
      </c>
      <c r="F15" s="58" t="s">
        <v>20</v>
      </c>
      <c r="G15" s="35"/>
      <c r="I15" s="57" t="s">
        <v>16</v>
      </c>
      <c r="J15" s="55" t="s">
        <v>17</v>
      </c>
      <c r="K15" s="55" t="s">
        <v>18</v>
      </c>
      <c r="L15" s="56" t="s">
        <v>19</v>
      </c>
      <c r="M15" s="58" t="s">
        <v>20</v>
      </c>
      <c r="N15" s="2"/>
      <c r="O15" s="2"/>
      <c r="P15" s="2"/>
      <c r="Q15" s="2"/>
      <c r="R15" s="2"/>
      <c r="S15" s="2"/>
    </row>
    <row r="16" spans="1:19" ht="15.75" customHeight="1" thickTop="1" thickBot="1" x14ac:dyDescent="0.25">
      <c r="A16" s="1"/>
      <c r="B16" s="50" t="s">
        <v>21</v>
      </c>
      <c r="C16" s="51">
        <f>SUMIFS(Data!$J:$J,Data!$H:$H,B16,Data!$E:$E,$C$9,Data!$F:$F,$C$10)</f>
        <v>1629502.9129999999</v>
      </c>
      <c r="D16" s="61" t="s">
        <v>22</v>
      </c>
      <c r="E16" s="52">
        <f>SUMIFS('Input keuzevariabelen'!$I:$I,'Input keuzevariabelen'!$F:$F,'CO2-emissie-inventaris'!B16,'Input keuzevariabelen'!$K:$K,'CO2-emissie-inventaris'!$E$14)</f>
        <v>2085</v>
      </c>
      <c r="F16" s="53">
        <f>SUMIFS(Data!$N:$N,Data!$H:$H,B16,Data!$E:$E,$C$9,Data!$F:$F,$C$10)</f>
        <v>3397.5135736049997</v>
      </c>
      <c r="G16" s="127">
        <f>F16/$F$40</f>
        <v>0.90066980737889846</v>
      </c>
      <c r="I16" s="50" t="s">
        <v>21</v>
      </c>
      <c r="J16" s="60">
        <f>SUMIFS(Data!$J:$J,Data!$H:$H,I16,Data!$E:$E,$J$10,Data!$C:$C,$J$9,Data!$F:$F,$J$11)</f>
        <v>1577985</v>
      </c>
      <c r="K16" s="61" t="s">
        <v>22</v>
      </c>
      <c r="L16" s="52">
        <f>SUMIFS('Input keuzevariabelen'!$I:$I,'Input keuzevariabelen'!$F:$F,'CO2-emissie-inventaris'!I16,'Input keuzevariabelen'!$K:$K,'CO2-emissie-inventaris'!$E$14)</f>
        <v>2085</v>
      </c>
      <c r="M16" s="62">
        <f>SUMIFS(Data!$N:$N,Data!$H:$H,I16,Data!$E:$E,$J$10,Data!$C:$C,$J$9,Data!$F:$F,$J$11)</f>
        <v>3290.0987249999998</v>
      </c>
      <c r="N16" s="65">
        <f>M16/$M$40</f>
        <v>0.91846799239420762</v>
      </c>
      <c r="O16" s="2"/>
      <c r="P16" s="2"/>
      <c r="Q16" s="2"/>
      <c r="R16" s="2"/>
      <c r="S16" s="2"/>
    </row>
    <row r="17" spans="1:19" ht="15.75" customHeight="1" thickTop="1" thickBot="1" x14ac:dyDescent="0.25">
      <c r="A17" s="1"/>
      <c r="B17" s="294" t="s">
        <v>23</v>
      </c>
      <c r="C17" s="51">
        <f>SUMIFS(Data!$J:$J,Data!$H:$H,B17,Data!$E:$E,$C$9,Data!$F:$F,$C$10)</f>
        <v>44703.752484662575</v>
      </c>
      <c r="D17" s="52" t="s">
        <v>24</v>
      </c>
      <c r="E17" s="52">
        <f>SUMIFS('Input keuzevariabelen'!$I:$I,'Input keuzevariabelen'!$F:$F,'CO2-emissie-inventaris'!B17,'Input keuzevariabelen'!$K:$K,'CO2-emissie-inventaris'!$E$14)</f>
        <v>3262</v>
      </c>
      <c r="F17" s="53">
        <f>SUMIFS(Data!$N:$N,Data!$H:$H,B17,Data!$E:$E,$C$9,Data!$F:$F,$C$10)</f>
        <v>145.82364060496934</v>
      </c>
      <c r="G17" s="127">
        <f>F17/$F$40</f>
        <v>3.86573732376903E-2</v>
      </c>
      <c r="I17" s="294" t="s">
        <v>23</v>
      </c>
      <c r="J17" s="60">
        <f>SUMIFS(Data!$J:$J,Data!$H:$H,I17,Data!$E:$E,$J$10,Data!$C:$C,$J$9,Data!$F:$F,$J$11)</f>
        <v>30360</v>
      </c>
      <c r="K17" s="52" t="s">
        <v>24</v>
      </c>
      <c r="L17" s="52">
        <f>SUMIFS('Input keuzevariabelen'!$I:$I,'Input keuzevariabelen'!$F:$F,'CO2-emissie-inventaris'!I17,'Input keuzevariabelen'!$K:$K,'CO2-emissie-inventaris'!$E$14)</f>
        <v>3262</v>
      </c>
      <c r="M17" s="62">
        <f>SUMIFS(Data!$N:$N,Data!$H:$H,I17,Data!$E:$E,$J$10,Data!$C:$C,$J$9,Data!$F:$F,$J$11)</f>
        <v>99.034320000000008</v>
      </c>
      <c r="N17" s="65">
        <f>M17/$M$40</f>
        <v>2.7646542147006709E-2</v>
      </c>
      <c r="O17" s="2"/>
      <c r="P17" s="2"/>
      <c r="Q17" s="2"/>
      <c r="R17" s="2"/>
      <c r="S17" s="2"/>
    </row>
    <row r="18" spans="1:19" ht="15.75" customHeight="1" thickTop="1" thickBot="1" x14ac:dyDescent="0.25">
      <c r="A18" s="158"/>
      <c r="B18" s="294" t="s">
        <v>25</v>
      </c>
      <c r="C18" s="51">
        <f>SUMIFS(Data!$J:$J,Data!$H:$H,B18,Data!$E:$E,$C$9,Data!$F:$F,$C$10)</f>
        <v>31359.660478764479</v>
      </c>
      <c r="D18" s="52" t="s">
        <v>24</v>
      </c>
      <c r="E18" s="52">
        <f>SUMIFS('Input keuzevariabelen'!$I:$I,'Input keuzevariabelen'!$F:$F,'CO2-emissie-inventaris'!B18,'Input keuzevariabelen'!$K:$K,'CO2-emissie-inventaris'!$E$14)</f>
        <v>2784</v>
      </c>
      <c r="F18" s="53">
        <f>SUMIFS(Data!$N:$N,Data!$H:$H,B18,Data!$E:$E,$C$9,Data!$F:$F,$C$10)</f>
        <v>87.305294772880302</v>
      </c>
      <c r="G18" s="127">
        <f>F18/$F$40</f>
        <v>2.3144349926117493E-2</v>
      </c>
      <c r="I18" s="294" t="s">
        <v>25</v>
      </c>
      <c r="J18" s="60">
        <f>SUMIFS(Data!$J:$J,Data!$H:$H,I18,Data!$E:$E,$J$10,Data!$C:$C,$J$9,Data!$F:$F,$J$11)</f>
        <v>30910</v>
      </c>
      <c r="K18" s="52" t="s">
        <v>24</v>
      </c>
      <c r="L18" s="52">
        <f>SUMIFS('Input keuzevariabelen'!$I:$I,'Input keuzevariabelen'!$F:$F,'CO2-emissie-inventaris'!I18,'Input keuzevariabelen'!$K:$K,'CO2-emissie-inventaris'!$E$14)</f>
        <v>2784</v>
      </c>
      <c r="M18" s="62">
        <f>SUMIFS(Data!$N:$N,Data!$H:$H,I18,Data!$E:$E,$J$10,Data!$C:$C,$J$9,Data!$F:$F,$J$11)</f>
        <v>86.053439999999995</v>
      </c>
      <c r="N18" s="65">
        <f>M18/$M$40</f>
        <v>2.4022783776926147E-2</v>
      </c>
      <c r="O18" s="2"/>
      <c r="P18" s="2"/>
      <c r="Q18" s="2"/>
      <c r="R18" s="2"/>
      <c r="S18" s="2"/>
    </row>
    <row r="19" spans="1:19" ht="15.75" customHeight="1" thickTop="1" thickBot="1" x14ac:dyDescent="0.25">
      <c r="A19" s="1"/>
      <c r="B19" s="295" t="s">
        <v>26</v>
      </c>
      <c r="C19" s="51">
        <f>SUMIFS(Data!$J:$J,Data!$H:$H,B19,Data!$E:$E,$C$9,Data!$F:$F,$C$10)</f>
        <v>0</v>
      </c>
      <c r="D19" s="52" t="s">
        <v>24</v>
      </c>
      <c r="E19" s="52">
        <f>SUMIFS('Input keuzevariabelen'!$I:$I,'Input keuzevariabelen'!$F:$F,'CO2-emissie-inventaris'!B19,'Input keuzevariabelen'!$K:$K,'CO2-emissie-inventaris'!$E$14)</f>
        <v>0</v>
      </c>
      <c r="F19" s="53">
        <f>SUMIFS(Data!$N:$N,Data!$H:$H,B19,Data!$E:$E,$C$9,Data!$F:$F,$C$10)</f>
        <v>0</v>
      </c>
      <c r="G19" s="127">
        <f>F19/$F$40</f>
        <v>0</v>
      </c>
      <c r="I19" s="295" t="s">
        <v>26</v>
      </c>
      <c r="J19" s="60">
        <f>SUMIFS(Data!$J:$J,Data!$H:$H,I19,Data!$E:$E,$J$10,Data!$C:$C,$J$9,Data!$F:$F,$J$11)</f>
        <v>0</v>
      </c>
      <c r="K19" s="52" t="s">
        <v>24</v>
      </c>
      <c r="L19" s="52">
        <f>SUMIFS('Input keuzevariabelen'!$I:$I,'Input keuzevariabelen'!$F:$F,'CO2-emissie-inventaris'!I19,'Input keuzevariabelen'!$K:$K,'CO2-emissie-inventaris'!$E$14)</f>
        <v>0</v>
      </c>
      <c r="M19" s="62">
        <f>SUMIFS(Data!$N:$N,Data!$H:$H,I19,Data!$E:$E,$J$10,Data!$C:$C,$J$9,Data!$F:$F,$J$11)</f>
        <v>0</v>
      </c>
      <c r="N19" s="65">
        <f>M19/$M$40</f>
        <v>0</v>
      </c>
      <c r="O19" s="2"/>
      <c r="P19" s="2"/>
      <c r="Q19" s="2"/>
      <c r="R19" s="2"/>
      <c r="S19" s="2"/>
    </row>
    <row r="20" spans="1:19" ht="15.75" customHeight="1" thickTop="1" thickBot="1" x14ac:dyDescent="0.25">
      <c r="B20" s="2"/>
      <c r="C20" s="2"/>
      <c r="D20" s="2"/>
      <c r="E20" s="48" t="s">
        <v>27</v>
      </c>
      <c r="F20" s="49">
        <f>SUM(F16:F19)</f>
        <v>3630.642508982849</v>
      </c>
      <c r="G20" s="129"/>
      <c r="I20" s="2"/>
      <c r="J20" s="2"/>
      <c r="K20" s="2"/>
      <c r="L20" s="48" t="s">
        <v>27</v>
      </c>
      <c r="M20" s="49">
        <f>SUM(M16:M19)</f>
        <v>3475.1864850000002</v>
      </c>
      <c r="N20" s="35"/>
      <c r="O20" s="2"/>
      <c r="P20" s="2"/>
      <c r="Q20" s="2"/>
      <c r="R20" s="2"/>
      <c r="S20" s="2"/>
    </row>
    <row r="21" spans="1:19" ht="15.75" customHeight="1" thickTop="1" thickBot="1" x14ac:dyDescent="0.25">
      <c r="B21" s="1"/>
      <c r="C21" s="1"/>
      <c r="D21" s="1"/>
      <c r="E21" s="12"/>
      <c r="F21" s="9"/>
      <c r="G21" s="129"/>
      <c r="I21" s="1"/>
      <c r="J21" s="1"/>
      <c r="K21" s="1"/>
      <c r="L21" s="12"/>
      <c r="M21" s="9"/>
      <c r="N21" s="35"/>
      <c r="O21" s="2"/>
      <c r="P21" s="2"/>
      <c r="Q21" s="2"/>
      <c r="R21" s="2"/>
      <c r="S21" s="2"/>
    </row>
    <row r="22" spans="1:19" ht="36" customHeight="1" thickTop="1" thickBot="1" x14ac:dyDescent="0.25">
      <c r="B22" s="57" t="s">
        <v>28</v>
      </c>
      <c r="C22" s="55" t="s">
        <v>17</v>
      </c>
      <c r="D22" s="55" t="s">
        <v>18</v>
      </c>
      <c r="E22" s="56" t="s">
        <v>19</v>
      </c>
      <c r="F22" s="58" t="s">
        <v>20</v>
      </c>
      <c r="G22" s="129"/>
      <c r="I22" s="57" t="s">
        <v>28</v>
      </c>
      <c r="J22" s="55" t="s">
        <v>17</v>
      </c>
      <c r="K22" s="55" t="s">
        <v>18</v>
      </c>
      <c r="L22" s="56" t="s">
        <v>19</v>
      </c>
      <c r="M22" s="58" t="s">
        <v>20</v>
      </c>
      <c r="N22" s="35"/>
      <c r="O22" s="2"/>
      <c r="P22" s="2"/>
      <c r="Q22" s="2"/>
      <c r="R22" s="2"/>
      <c r="S22" s="2"/>
    </row>
    <row r="23" spans="1:19" ht="15.75" customHeight="1" thickTop="1" thickBot="1" x14ac:dyDescent="0.25">
      <c r="B23" s="67" t="s">
        <v>29</v>
      </c>
      <c r="C23" s="51">
        <f>SUMIFS(Data!$J:$J,Data!$H:$H,B23,Data!$E:$E,$C$9,Data!$F:$F,$C$10)</f>
        <v>55475.295532799995</v>
      </c>
      <c r="D23" s="54" t="s">
        <v>30</v>
      </c>
      <c r="E23" s="52">
        <f>SUMIFS('Input keuzevariabelen'!$I:$I,'Input keuzevariabelen'!$F:$F,'CO2-emissie-inventaris'!B23,'Input keuzevariabelen'!$K:$K,'CO2-emissie-inventaris'!$E$14)</f>
        <v>523</v>
      </c>
      <c r="F23" s="53">
        <f>SUMIFS(Data!$N:$N,Data!$H:$H,B23,Data!$E:$E,$C$9,Data!$F:$F,$C$10)</f>
        <v>29.013579563654396</v>
      </c>
      <c r="G23" s="128">
        <f>F23/$F$40</f>
        <v>7.6914056561785665E-3</v>
      </c>
      <c r="I23" s="67" t="s">
        <v>29</v>
      </c>
      <c r="J23" s="60">
        <f>SUMIFS(Data!$J:$J,Data!$H:$H,I23,Data!$E:$E,$J$10,Data!$C:$C,$J$9,Data!$F:$F,$J$11)</f>
        <v>0</v>
      </c>
      <c r="K23" s="64" t="s">
        <v>30</v>
      </c>
      <c r="L23" s="52">
        <f>SUMIFS('Input keuzevariabelen'!$I:$I,'Input keuzevariabelen'!$F:$F,'CO2-emissie-inventaris'!I23,'Input keuzevariabelen'!$K:$K,'CO2-emissie-inventaris'!$E$14)</f>
        <v>523</v>
      </c>
      <c r="M23" s="62">
        <f>SUMIFS(Data!$N:$N,Data!$H:$H,I23,Data!$E:$E,$J$10,Data!$C:$C,$J$9,Data!$F:$F,$J$11)</f>
        <v>0</v>
      </c>
      <c r="N23" s="66">
        <f>M23/$M$40</f>
        <v>0</v>
      </c>
      <c r="O23" s="2"/>
      <c r="P23" s="2"/>
      <c r="Q23" s="2"/>
      <c r="R23" s="2"/>
      <c r="S23" s="2"/>
    </row>
    <row r="24" spans="1:19" ht="15.75" customHeight="1" thickTop="1" thickBot="1" x14ac:dyDescent="0.25">
      <c r="A24" s="1"/>
      <c r="B24" s="296" t="s">
        <v>31</v>
      </c>
      <c r="C24" s="51">
        <f>SUMIFS(Data!$J:$J,Data!$H:$H,B24,Data!$E:$E,$C$9,Data!$F:$F,$C$10)</f>
        <v>74228121.933119193</v>
      </c>
      <c r="D24" s="54" t="s">
        <v>30</v>
      </c>
      <c r="E24" s="52">
        <f>SUMIFS('Input keuzevariabelen'!$I:$I,'Input keuzevariabelen'!$F:$F,'CO2-emissie-inventaris'!B24,'Input keuzevariabelen'!$K:$K,'CO2-emissie-inventaris'!$E$14)</f>
        <v>0</v>
      </c>
      <c r="F24" s="53">
        <f>SUMIFS(Data!$N:$N,Data!$H:$H,B24,Data!$E:$E,$C$9,Data!$F:$F,$C$10)</f>
        <v>0</v>
      </c>
      <c r="G24" s="128">
        <f>F24/$F$40</f>
        <v>0</v>
      </c>
      <c r="I24" s="296" t="s">
        <v>31</v>
      </c>
      <c r="J24" s="60">
        <f>SUMIFS(Data!$J:$J,Data!$H:$H,I24,Data!$E:$E,$J$10,Data!$C:$C,$J$9,Data!$F:$F,$J$11)</f>
        <v>71115996</v>
      </c>
      <c r="K24" s="64" t="s">
        <v>30</v>
      </c>
      <c r="L24" s="52">
        <f>SUMIFS('Input keuzevariabelen'!$I:$I,'Input keuzevariabelen'!$F:$F,'CO2-emissie-inventaris'!I24,'Input keuzevariabelen'!$K:$K,'CO2-emissie-inventaris'!$E$14)</f>
        <v>0</v>
      </c>
      <c r="M24" s="62">
        <f>SUMIFS(Data!$N:$N,Data!$H:$H,I24,Data!$E:$E,$J$10,Data!$C:$C,$J$9,Data!$F:$F,$J$11)</f>
        <v>0</v>
      </c>
      <c r="N24" s="66">
        <f t="shared" ref="N24:N27" si="0">M24/$M$40</f>
        <v>0</v>
      </c>
      <c r="O24" s="2"/>
      <c r="P24" s="2"/>
      <c r="Q24" s="2"/>
      <c r="R24" s="2"/>
      <c r="S24" s="2"/>
    </row>
    <row r="25" spans="1:19" ht="15.75" customHeight="1" thickTop="1" thickBot="1" x14ac:dyDescent="0.25">
      <c r="A25" s="1"/>
      <c r="B25" s="296" t="s">
        <v>32</v>
      </c>
      <c r="C25" s="51">
        <f>SUMIFS(Data!$J:$J,Data!$H:$H,B25,Data!$E:$E,$C$9,Data!$F:$F,$C$10)</f>
        <v>2460.567</v>
      </c>
      <c r="D25" s="54" t="s">
        <v>30</v>
      </c>
      <c r="E25" s="52">
        <f>SUMIFS('Input keuzevariabelen'!$I:$I,'Input keuzevariabelen'!$F:$F,'CO2-emissie-inventaris'!B25,'Input keuzevariabelen'!$K:$K,'CO2-emissie-inventaris'!$E$14)</f>
        <v>523</v>
      </c>
      <c r="F25" s="53">
        <f>SUMIFS(Data!$N:$N,Data!$H:$H,B25,Data!$E:$E,$C$9,Data!$F:$F,$C$10)</f>
        <v>1.286876541</v>
      </c>
      <c r="G25" s="128">
        <f>F25/$F$40</f>
        <v>3.4114678902461573E-4</v>
      </c>
      <c r="I25" s="296" t="s">
        <v>32</v>
      </c>
      <c r="J25" s="60">
        <f>SUMIFS(Data!$J:$J,Data!$H:$H,I25,Data!$E:$E,$J$10,Data!$C:$C,$J$9,Data!$F:$F,$J$11)</f>
        <v>0</v>
      </c>
      <c r="K25" s="64" t="s">
        <v>30</v>
      </c>
      <c r="L25" s="52">
        <f>SUMIFS('Input keuzevariabelen'!$I:$I,'Input keuzevariabelen'!$F:$F,'CO2-emissie-inventaris'!I25,'Input keuzevariabelen'!$K:$K,'CO2-emissie-inventaris'!$E$14)</f>
        <v>523</v>
      </c>
      <c r="M25" s="62">
        <f>SUMIFS(Data!$N:$N,Data!$H:$H,I25,Data!$E:$E,$J$10,Data!$C:$C,$J$9,Data!$F:$F,$J$11)</f>
        <v>0</v>
      </c>
      <c r="N25" s="66">
        <f t="shared" si="0"/>
        <v>0</v>
      </c>
      <c r="O25" s="2"/>
      <c r="P25" s="2"/>
      <c r="Q25" s="2"/>
      <c r="R25" s="2"/>
      <c r="S25" s="2"/>
    </row>
    <row r="26" spans="1:19" ht="15.75" customHeight="1" thickTop="1" thickBot="1" x14ac:dyDescent="0.25">
      <c r="A26" s="1"/>
      <c r="B26" s="296" t="s">
        <v>33</v>
      </c>
      <c r="C26" s="51">
        <f>SUMIFS(Data!$J:$J,Data!$H:$H,B26,Data!$E:$E,$C$9,Data!$F:$F,$C$10)</f>
        <v>0</v>
      </c>
      <c r="D26" s="54" t="s">
        <v>34</v>
      </c>
      <c r="E26" s="52">
        <f>SUMIFS('Input keuzevariabelen'!$I:$I,'Input keuzevariabelen'!$F:$F,'CO2-emissie-inventaris'!B26,'Input keuzevariabelen'!$K:$K,'CO2-emissie-inventaris'!$E$14)</f>
        <v>0</v>
      </c>
      <c r="F26" s="53">
        <f>SUMIFS(Data!$N:$N,Data!$H:$H,B26,Data!$E:$E,$C$9,Data!$F:$F,$C$10)</f>
        <v>0</v>
      </c>
      <c r="G26" s="128">
        <f>F26/$F$40</f>
        <v>0</v>
      </c>
      <c r="I26" s="296" t="s">
        <v>33</v>
      </c>
      <c r="J26" s="60">
        <f>SUMIFS(Data!$J:$J,Data!$H:$H,I26,Data!$E:$E,$J$10,Data!$C:$C,$J$9,Data!$F:$F,$J$11)</f>
        <v>0</v>
      </c>
      <c r="K26" s="64" t="s">
        <v>34</v>
      </c>
      <c r="L26" s="52">
        <f>SUMIFS('Input keuzevariabelen'!$I:$I,'Input keuzevariabelen'!$F:$F,'CO2-emissie-inventaris'!I26,'Input keuzevariabelen'!$K:$K,'CO2-emissie-inventaris'!$E$14)</f>
        <v>0</v>
      </c>
      <c r="M26" s="62">
        <f>SUMIFS(Data!$N:$N,Data!$H:$H,I26,Data!$E:$E,$J$10,Data!$C:$C,$J$9,Data!$F:$F,$J$11)</f>
        <v>0</v>
      </c>
      <c r="N26" s="66">
        <f t="shared" ref="N26" si="1">M26/$M$40</f>
        <v>0</v>
      </c>
      <c r="O26" s="2"/>
      <c r="P26" s="2"/>
      <c r="Q26" s="2"/>
      <c r="R26" s="2"/>
      <c r="S26" s="2"/>
    </row>
    <row r="27" spans="1:19" ht="15.75" customHeight="1" thickTop="1" thickBot="1" x14ac:dyDescent="0.25">
      <c r="A27" s="1"/>
      <c r="B27" s="296" t="s">
        <v>35</v>
      </c>
      <c r="C27" s="51">
        <f>SUMIFS(Data!$J:$J,Data!$H:$H,B27,Data!$E:$E,$C$9,Data!$F:$F,$C$10)</f>
        <v>0</v>
      </c>
      <c r="D27" s="54" t="s">
        <v>34</v>
      </c>
      <c r="E27" s="52">
        <f>SUMIFS('Input keuzevariabelen'!$I:$I,'Input keuzevariabelen'!$F:$F,'CO2-emissie-inventaris'!B27,'Input keuzevariabelen'!$K:$K,'CO2-emissie-inventaris'!$E$14)</f>
        <v>0</v>
      </c>
      <c r="F27" s="53">
        <f>SUMIFS(Data!$N:$N,Data!$H:$H,B27,Data!$E:$E,$C$9,Data!$F:$F,$C$10)</f>
        <v>0</v>
      </c>
      <c r="G27" s="128">
        <f>F27/$F$40</f>
        <v>0</v>
      </c>
      <c r="I27" s="296" t="s">
        <v>35</v>
      </c>
      <c r="J27" s="60">
        <f>SUMIFS(Data!$J:$J,Data!$H:$H,I27,Data!$E:$E,$J$10,Data!$C:$C,$J$9,Data!$F:$F,$J$11)</f>
        <v>0</v>
      </c>
      <c r="K27" s="64" t="s">
        <v>34</v>
      </c>
      <c r="L27" s="52">
        <f>SUMIFS('Input keuzevariabelen'!$I:$I,'Input keuzevariabelen'!$F:$F,'CO2-emissie-inventaris'!I27,'Input keuzevariabelen'!$K:$K,'CO2-emissie-inventaris'!$E$14)</f>
        <v>0</v>
      </c>
      <c r="M27" s="62">
        <f>SUMIFS(Data!$N:$N,Data!$H:$H,I27,Data!$E:$E,$J$10,Data!$C:$C,$J$9,Data!$F:$F,$J$11)</f>
        <v>0</v>
      </c>
      <c r="N27" s="66">
        <f t="shared" si="0"/>
        <v>0</v>
      </c>
      <c r="O27" s="2"/>
      <c r="P27" s="2"/>
      <c r="Q27" s="2"/>
      <c r="R27" s="2"/>
      <c r="S27" s="2"/>
    </row>
    <row r="28" spans="1:19" ht="15.75" customHeight="1" thickTop="1" thickBot="1" x14ac:dyDescent="0.25">
      <c r="A28" s="2"/>
      <c r="B28" s="17"/>
      <c r="C28" s="1"/>
      <c r="D28" s="1"/>
      <c r="E28" s="268" t="s">
        <v>36</v>
      </c>
      <c r="F28" s="269">
        <f>SUM(F23:F27)</f>
        <v>30.300456104654398</v>
      </c>
      <c r="G28" s="129"/>
      <c r="I28" s="17"/>
      <c r="J28" s="1"/>
      <c r="K28" s="1"/>
      <c r="L28" s="48" t="s">
        <v>36</v>
      </c>
      <c r="M28" s="68">
        <f>SUM(M23:M27)</f>
        <v>0</v>
      </c>
      <c r="N28" s="35"/>
      <c r="O28" s="2"/>
      <c r="P28" s="2"/>
      <c r="Q28" s="2"/>
      <c r="R28" s="2"/>
      <c r="S28" s="2"/>
    </row>
    <row r="29" spans="1:19" s="2" customFormat="1" ht="15.75" customHeight="1" thickTop="1" thickBot="1" x14ac:dyDescent="0.25">
      <c r="A29" s="31"/>
      <c r="B29" s="17"/>
      <c r="C29" s="1"/>
      <c r="D29" s="1"/>
      <c r="E29" s="18"/>
      <c r="F29" s="19"/>
      <c r="G29" s="129"/>
      <c r="I29" s="17"/>
      <c r="J29" s="1"/>
      <c r="K29" s="1"/>
      <c r="L29" s="18"/>
      <c r="M29" s="19"/>
      <c r="N29" s="35"/>
    </row>
    <row r="30" spans="1:19" ht="36" customHeight="1" thickTop="1" thickBot="1" x14ac:dyDescent="0.25">
      <c r="B30" s="57" t="s">
        <v>37</v>
      </c>
      <c r="C30" s="55" t="s">
        <v>17</v>
      </c>
      <c r="D30" s="55" t="s">
        <v>18</v>
      </c>
      <c r="E30" s="56" t="s">
        <v>19</v>
      </c>
      <c r="F30" s="58" t="s">
        <v>20</v>
      </c>
      <c r="G30" s="129"/>
      <c r="I30" s="57" t="s">
        <v>37</v>
      </c>
      <c r="J30" s="55" t="s">
        <v>17</v>
      </c>
      <c r="K30" s="55" t="s">
        <v>18</v>
      </c>
      <c r="L30" s="56" t="s">
        <v>19</v>
      </c>
      <c r="M30" s="58" t="s">
        <v>20</v>
      </c>
      <c r="N30" s="35"/>
      <c r="O30" s="2"/>
      <c r="P30" s="2"/>
      <c r="Q30" s="2"/>
      <c r="R30" s="2"/>
      <c r="S30" s="2"/>
    </row>
    <row r="31" spans="1:19" ht="15.75" customHeight="1" thickTop="1" thickBot="1" x14ac:dyDescent="0.25">
      <c r="B31" s="72" t="s">
        <v>38</v>
      </c>
      <c r="C31" s="51">
        <f>SUMIFS(Data!$J:$J,Data!$H:$H,B31,Data!$E:$E,$C$9,Data!$F:$F,$C$10)</f>
        <v>302351.7212631579</v>
      </c>
      <c r="D31" s="61" t="s">
        <v>39</v>
      </c>
      <c r="E31" s="52">
        <f>SUMIFS('Input keuzevariabelen'!$I:$I,'Input keuzevariabelen'!$F:$F,'CO2-emissie-inventaris'!B31,'Input keuzevariabelen'!$K:$K,'CO2-emissie-inventaris'!$E$14)</f>
        <v>193</v>
      </c>
      <c r="F31" s="53">
        <f>SUMIFS(Data!$N:$N,Data!$H:$H,B31,Data!$E:$E,$C$9,Data!$F:$F,$C$10)</f>
        <v>58.353882203789475</v>
      </c>
      <c r="G31" s="127">
        <f t="shared" ref="G31:G36" si="2">F31/$F$40</f>
        <v>1.546942453817211E-2</v>
      </c>
      <c r="I31" s="72" t="s">
        <v>38</v>
      </c>
      <c r="J31" s="60">
        <f>SUMIFS(Data!$J:$J,Data!$H:$H,I31,Data!$E:$E,$J$10,Data!$C:$C,$J$9,Data!$F:$F,$J$11)</f>
        <v>281120</v>
      </c>
      <c r="K31" s="61" t="s">
        <v>39</v>
      </c>
      <c r="L31" s="52">
        <f>SUMIFS('Input keuzevariabelen'!$I:$I,'Input keuzevariabelen'!$F:$F,'CO2-emissie-inventaris'!I31,'Input keuzevariabelen'!$K:$K,'CO2-emissie-inventaris'!$E$14)</f>
        <v>193</v>
      </c>
      <c r="M31" s="62">
        <f>SUMIFS(Data!$N:$N,Data!$H:$H,I31,Data!$E:$E,$J$10,Data!$C:$C,$J$9,Data!$F:$F,$J$11)</f>
        <v>54.256160000000001</v>
      </c>
      <c r="N31" s="65">
        <f>M31/$M$40</f>
        <v>1.5146216121590369E-2</v>
      </c>
      <c r="O31" s="2"/>
      <c r="P31" s="2"/>
      <c r="Q31" s="2"/>
      <c r="R31" s="2"/>
      <c r="S31" s="2"/>
    </row>
    <row r="32" spans="1:19" ht="15.75" customHeight="1" thickTop="1" thickBot="1" x14ac:dyDescent="0.25">
      <c r="A32" s="1"/>
      <c r="B32" s="72" t="s">
        <v>40</v>
      </c>
      <c r="C32" s="51">
        <f>SUMIFS(Data!$J:$J,Data!$H:$H,B32,Data!$E:$E,$C$9,Data!$F:$F,$C$10)</f>
        <v>349494.0153846154</v>
      </c>
      <c r="D32" s="61" t="s">
        <v>39</v>
      </c>
      <c r="E32" s="52">
        <f>SUMIFS('Input keuzevariabelen'!$I:$I,'Input keuzevariabelen'!$F:$F,'CO2-emissie-inventaris'!B32,'Input keuzevariabelen'!$K:$K,'CO2-emissie-inventaris'!$E$14)</f>
        <v>15</v>
      </c>
      <c r="F32" s="53">
        <f>SUMIFS(Data!$N:$N,Data!$H:$H,B32,Data!$E:$E,$C$9,Data!$F:$F,$C$10)</f>
        <v>5.2424102307692317</v>
      </c>
      <c r="G32" s="127">
        <f t="shared" si="2"/>
        <v>1.3897459157868961E-3</v>
      </c>
      <c r="I32" s="72" t="s">
        <v>40</v>
      </c>
      <c r="J32" s="60">
        <f>SUMIFS(Data!$J:$J,Data!$H:$H,I32,Data!$E:$E,$J$10,Data!$C:$C,$J$9,Data!$F:$F,$J$11)</f>
        <v>342839</v>
      </c>
      <c r="K32" s="61" t="s">
        <v>39</v>
      </c>
      <c r="L32" s="52">
        <f>SUMIFS('Input keuzevariabelen'!$I:$I,'Input keuzevariabelen'!$F:$F,'CO2-emissie-inventaris'!I32,'Input keuzevariabelen'!$K:$K,'CO2-emissie-inventaris'!$E$14)</f>
        <v>15</v>
      </c>
      <c r="M32" s="62">
        <f>SUMIFS(Data!$N:$N,Data!$H:$H,I32,Data!$E:$E,$J$10,Data!$C:$C,$J$9,Data!$F:$F,$J$11)</f>
        <v>5.1425850000000004</v>
      </c>
      <c r="N32" s="65">
        <f t="shared" ref="N32" si="3">M32/$M$40</f>
        <v>1.4356103313181178E-3</v>
      </c>
      <c r="O32" s="2"/>
      <c r="P32" s="2"/>
      <c r="Q32" s="2"/>
      <c r="R32" s="2"/>
      <c r="S32" s="2"/>
    </row>
    <row r="33" spans="1:52" ht="15.75" customHeight="1" thickTop="1" thickBot="1" x14ac:dyDescent="0.25">
      <c r="A33" s="1"/>
      <c r="B33" s="72" t="s">
        <v>41</v>
      </c>
      <c r="C33" s="51">
        <f>SUMIFS(Data!$J:$J,Data!$H:$H,B33,Data!$E:$E,$C$9,Data!$F:$F,$C$10)</f>
        <v>0</v>
      </c>
      <c r="D33" s="61" t="s">
        <v>39</v>
      </c>
      <c r="E33" s="52">
        <f>SUMIFS('Input keuzevariabelen'!$I:$I,'Input keuzevariabelen'!$F:$F,'CO2-emissie-inventaris'!B33,'Input keuzevariabelen'!$K:$K,'CO2-emissie-inventaris'!$E$14)</f>
        <v>0</v>
      </c>
      <c r="F33" s="53">
        <f>SUMIFS(Data!$N:$N,Data!$H:$H,B33,Data!$E:$E,$C$9,Data!$F:$F,$C$10)</f>
        <v>0</v>
      </c>
      <c r="G33" s="127">
        <f t="shared" si="2"/>
        <v>0</v>
      </c>
      <c r="I33" s="72" t="s">
        <v>41</v>
      </c>
      <c r="J33" s="60">
        <f>SUMIFS(Data!$J:$J,Data!$H:$H,I33,Data!$E:$E,$J$10,Data!$C:$C,$J$9,Data!$F:$F,$J$11)</f>
        <v>0</v>
      </c>
      <c r="K33" s="61" t="s">
        <v>39</v>
      </c>
      <c r="L33" s="52">
        <f>SUMIFS('Input keuzevariabelen'!$I:$I,'Input keuzevariabelen'!$F:$F,'CO2-emissie-inventaris'!I33,'Input keuzevariabelen'!$K:$K,'CO2-emissie-inventaris'!$E$14)</f>
        <v>0</v>
      </c>
      <c r="M33" s="62">
        <f>SUMIFS(Data!$N:$N,Data!$H:$H,I33,Data!$E:$E,$J$10,Data!$C:$C,$J$9,Data!$F:$F,$J$11)</f>
        <v>0</v>
      </c>
      <c r="N33" s="65">
        <f t="shared" ref="N33:N36" si="4">M33/$M$40</f>
        <v>0</v>
      </c>
      <c r="O33" s="2"/>
      <c r="P33" s="2"/>
      <c r="Q33" s="2"/>
      <c r="R33" s="2"/>
      <c r="S33" s="2"/>
    </row>
    <row r="34" spans="1:52" ht="15.75" customHeight="1" thickTop="1" thickBot="1" x14ac:dyDescent="0.25">
      <c r="A34" s="1"/>
      <c r="B34" s="72" t="s">
        <v>42</v>
      </c>
      <c r="C34" s="51">
        <f>SUMIFS(Data!$J:$J,Data!$H:$H,B34,Data!$E:$E,$C$9,Data!$F:$F,$C$10)</f>
        <v>249.024</v>
      </c>
      <c r="D34" s="61" t="s">
        <v>39</v>
      </c>
      <c r="E34" s="52">
        <f>SUMIFS('Input keuzevariabelen'!$I:$I,'Input keuzevariabelen'!$F:$F,'CO2-emissie-inventaris'!B34,'Input keuzevariabelen'!$K:$K,'CO2-emissie-inventaris'!$E$14)</f>
        <v>234</v>
      </c>
      <c r="F34" s="53">
        <f>SUMIFS(Data!$N:$N,Data!$H:$H,B34,Data!$E:$E,$C$9,Data!$F:$F,$C$10)</f>
        <v>5.8271616000000005E-2</v>
      </c>
      <c r="G34" s="127">
        <f t="shared" si="2"/>
        <v>1.5447616034890037E-5</v>
      </c>
      <c r="I34" s="72" t="s">
        <v>42</v>
      </c>
      <c r="J34" s="60">
        <f>SUMIFS(Data!$J:$J,Data!$H:$H,I34,Data!$E:$E,$J$10,Data!$C:$C,$J$9,Data!$F:$F,$J$11)</f>
        <v>0</v>
      </c>
      <c r="K34" s="61" t="s">
        <v>39</v>
      </c>
      <c r="L34" s="52">
        <f>SUMIFS('Input keuzevariabelen'!$I:$I,'Input keuzevariabelen'!$F:$F,'CO2-emissie-inventaris'!I34,'Input keuzevariabelen'!$K:$K,'CO2-emissie-inventaris'!$E$14)</f>
        <v>234</v>
      </c>
      <c r="M34" s="62">
        <f>SUMIFS(Data!$N:$N,Data!$H:$H,I34,Data!$E:$E,$J$10,Data!$C:$C,$J$9,Data!$F:$F,$J$11)</f>
        <v>0</v>
      </c>
      <c r="N34" s="65">
        <f t="shared" si="4"/>
        <v>0</v>
      </c>
      <c r="O34" s="2"/>
      <c r="P34" s="2"/>
      <c r="Q34" s="2"/>
      <c r="R34" s="2"/>
      <c r="S34" s="2"/>
    </row>
    <row r="35" spans="1:52" ht="15.75" customHeight="1" thickTop="1" thickBot="1" x14ac:dyDescent="0.25">
      <c r="A35" s="1"/>
      <c r="B35" s="72" t="s">
        <v>43</v>
      </c>
      <c r="C35" s="51">
        <f>SUMIFS(Data!$J:$J,Data!$H:$H,B35,Data!$E:$E,$C$9,Data!$F:$F,$C$10)</f>
        <v>209.42400000000001</v>
      </c>
      <c r="D35" s="61" t="s">
        <v>39</v>
      </c>
      <c r="E35" s="52">
        <f>SUMIFS('Input keuzevariabelen'!$I:$I,'Input keuzevariabelen'!$F:$F,'CO2-emissie-inventaris'!B35,'Input keuzevariabelen'!$K:$K,'CO2-emissie-inventaris'!$E$14)</f>
        <v>172</v>
      </c>
      <c r="F35" s="53">
        <f>SUMIFS(Data!$N:$N,Data!$H:$H,B35,Data!$E:$E,$C$9,Data!$F:$F,$C$10)</f>
        <v>3.6020928000000001E-2</v>
      </c>
      <c r="G35" s="127">
        <f t="shared" si="2"/>
        <v>9.549030954700474E-6</v>
      </c>
      <c r="I35" s="72" t="s">
        <v>43</v>
      </c>
      <c r="J35" s="60">
        <f>SUMIFS(Data!$J:$J,Data!$H:$H,I35,Data!$E:$E,$J$10,Data!$C:$C,$J$9,Data!$F:$F,$J$11)</f>
        <v>0</v>
      </c>
      <c r="K35" s="61" t="s">
        <v>39</v>
      </c>
      <c r="L35" s="52">
        <f>SUMIFS('Input keuzevariabelen'!$I:$I,'Input keuzevariabelen'!$F:$F,'CO2-emissie-inventaris'!I35,'Input keuzevariabelen'!$K:$K,'CO2-emissie-inventaris'!$E$14)</f>
        <v>172</v>
      </c>
      <c r="M35" s="62">
        <f>SUMIFS(Data!$N:$N,Data!$H:$H,I35,Data!$E:$E,$J$10,Data!$C:$C,$J$9,Data!$F:$F,$J$11)</f>
        <v>0</v>
      </c>
      <c r="N35" s="65">
        <f t="shared" si="4"/>
        <v>0</v>
      </c>
      <c r="O35" s="2"/>
      <c r="P35" s="2"/>
      <c r="Q35" s="2"/>
      <c r="R35" s="2"/>
      <c r="S35" s="2"/>
    </row>
    <row r="36" spans="1:52" ht="15.75" customHeight="1" thickTop="1" thickBot="1" x14ac:dyDescent="0.25">
      <c r="A36" s="1"/>
      <c r="B36" s="72" t="s">
        <v>44</v>
      </c>
      <c r="C36" s="51">
        <f>SUMIFS(Data!$J:$J,Data!$H:$H,B36,Data!$E:$E,$C$9,Data!$F:$F,$C$10)</f>
        <v>303020</v>
      </c>
      <c r="D36" s="61" t="s">
        <v>39</v>
      </c>
      <c r="E36" s="52">
        <f>SUMIFS('Input keuzevariabelen'!$I:$I,'Input keuzevariabelen'!$F:$F,'CO2-emissie-inventaris'!B36,'Input keuzevariabelen'!$K:$K,'CO2-emissie-inventaris'!$E$14)</f>
        <v>157</v>
      </c>
      <c r="F36" s="53">
        <f>SUMIFS(Data!$N:$N,Data!$H:$H,B36,Data!$E:$E,$C$9,Data!$F:$F,$C$10)</f>
        <v>47.57414</v>
      </c>
      <c r="G36" s="127">
        <f t="shared" si="2"/>
        <v>1.2611749911142046E-2</v>
      </c>
      <c r="I36" s="72" t="s">
        <v>44</v>
      </c>
      <c r="J36" s="60">
        <f>SUMIFS(Data!$J:$J,Data!$H:$H,I36,Data!$E:$E,$J$10,Data!$C:$C,$J$9,Data!$F:$F,$J$11)</f>
        <v>303020</v>
      </c>
      <c r="K36" s="61" t="s">
        <v>39</v>
      </c>
      <c r="L36" s="52">
        <f>SUMIFS('Input keuzevariabelen'!$I:$I,'Input keuzevariabelen'!$F:$F,'CO2-emissie-inventaris'!I36,'Input keuzevariabelen'!$K:$K,'CO2-emissie-inventaris'!$E$14)</f>
        <v>157</v>
      </c>
      <c r="M36" s="62">
        <f>SUMIFS(Data!$N:$N,Data!$H:$H,I36,Data!$E:$E,$J$10,Data!$C:$C,$J$9,Data!$F:$F,$J$11)</f>
        <v>47.57414</v>
      </c>
      <c r="N36" s="65">
        <f t="shared" si="4"/>
        <v>1.328085522895091E-2</v>
      </c>
      <c r="O36" s="2"/>
      <c r="P36" s="2"/>
      <c r="Q36" s="2"/>
      <c r="R36" s="2"/>
      <c r="S36" s="2"/>
    </row>
    <row r="37" spans="1:52" ht="15.75" customHeight="1" x14ac:dyDescent="0.2">
      <c r="A37" s="1"/>
      <c r="B37" s="17"/>
      <c r="C37" s="1"/>
      <c r="D37" s="1"/>
      <c r="E37" s="268" t="s">
        <v>45</v>
      </c>
      <c r="F37" s="269">
        <f>SUM(F31:F36)</f>
        <v>111.2647249785587</v>
      </c>
      <c r="G37" s="35"/>
      <c r="I37" s="17"/>
      <c r="J37" s="1"/>
      <c r="K37" s="1"/>
      <c r="L37" s="268" t="s">
        <v>45</v>
      </c>
      <c r="M37" s="269">
        <f>SUM(M31:M36)</f>
        <v>106.97288500000001</v>
      </c>
      <c r="N37" s="2"/>
      <c r="O37" s="2"/>
      <c r="P37" s="2"/>
      <c r="Q37" s="2"/>
      <c r="R37" s="2"/>
      <c r="S37" s="2"/>
    </row>
    <row r="38" spans="1:52" s="2" customFormat="1" ht="15.75" customHeight="1" x14ac:dyDescent="0.2">
      <c r="A38" s="1"/>
      <c r="B38" s="17"/>
      <c r="C38" s="1"/>
      <c r="D38" s="1"/>
      <c r="E38" s="18"/>
      <c r="F38" s="19"/>
      <c r="G38" s="35"/>
      <c r="I38" s="17"/>
      <c r="J38" s="1"/>
      <c r="K38" s="1"/>
      <c r="L38" s="18"/>
      <c r="M38" s="19"/>
    </row>
    <row r="39" spans="1:52" ht="15.75" customHeight="1" thickBot="1" x14ac:dyDescent="0.25">
      <c r="A39" s="1"/>
      <c r="B39" s="17"/>
      <c r="C39" s="1"/>
      <c r="D39" s="1"/>
      <c r="E39" s="12"/>
      <c r="F39" s="270"/>
      <c r="G39" s="35"/>
      <c r="I39" s="17"/>
      <c r="J39" s="1"/>
      <c r="K39" s="1"/>
      <c r="L39" s="12"/>
      <c r="M39" s="270"/>
      <c r="N39" s="2"/>
      <c r="O39" s="2"/>
      <c r="P39" s="2"/>
      <c r="Q39" s="2"/>
      <c r="R39" s="2"/>
      <c r="S39" s="2"/>
    </row>
    <row r="40" spans="1:52" ht="15.75" customHeight="1" thickTop="1" thickBot="1" x14ac:dyDescent="0.25">
      <c r="A40" s="1"/>
      <c r="B40" s="337" t="s">
        <v>46</v>
      </c>
      <c r="C40" s="338"/>
      <c r="D40" s="338"/>
      <c r="E40" s="70"/>
      <c r="F40" s="71">
        <f>F20+F28+F37</f>
        <v>3772.2076900660622</v>
      </c>
      <c r="G40" s="35"/>
      <c r="I40" s="337" t="s">
        <v>46</v>
      </c>
      <c r="J40" s="338"/>
      <c r="K40" s="338"/>
      <c r="L40" s="70"/>
      <c r="M40" s="71">
        <f>M20+M28+M37</f>
        <v>3582.1593700000003</v>
      </c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52" s="2" customFormat="1" ht="15.75" customHeight="1" thickTop="1" thickBot="1" x14ac:dyDescent="0.25">
      <c r="A41" s="1"/>
      <c r="B41" s="274"/>
      <c r="C41" s="274"/>
      <c r="D41" s="274"/>
      <c r="E41" s="275"/>
      <c r="F41" s="276"/>
      <c r="G41" s="35"/>
      <c r="I41" s="274"/>
      <c r="J41" s="274"/>
      <c r="K41" s="274"/>
      <c r="L41" s="275"/>
      <c r="M41" s="276"/>
    </row>
    <row r="42" spans="1:52" ht="28.5" thickTop="1" thickBot="1" x14ac:dyDescent="0.25">
      <c r="B42" s="57" t="s">
        <v>47</v>
      </c>
      <c r="C42" s="55" t="s">
        <v>17</v>
      </c>
      <c r="D42" s="55" t="s">
        <v>18</v>
      </c>
      <c r="E42" s="56"/>
      <c r="F42" s="58" t="s">
        <v>20</v>
      </c>
      <c r="G42" s="297"/>
      <c r="I42" s="57" t="s">
        <v>47</v>
      </c>
      <c r="J42" s="55" t="s">
        <v>17</v>
      </c>
      <c r="K42" s="55" t="s">
        <v>18</v>
      </c>
      <c r="L42" s="56" t="s">
        <v>19</v>
      </c>
      <c r="M42" s="58" t="s">
        <v>20</v>
      </c>
      <c r="N42" s="2"/>
      <c r="O42" s="2"/>
      <c r="P42" s="299"/>
      <c r="Q42" s="300"/>
      <c r="R42" s="300"/>
      <c r="S42" s="301"/>
      <c r="T42" s="302"/>
      <c r="U42" s="2"/>
      <c r="V42" s="2"/>
      <c r="W42" s="2"/>
    </row>
    <row r="43" spans="1:52" ht="15.75" customHeight="1" thickTop="1" thickBot="1" x14ac:dyDescent="0.25">
      <c r="A43" s="1"/>
      <c r="B43" s="67" t="s">
        <v>48</v>
      </c>
      <c r="C43" s="51">
        <f>SUMIFS(Data!$I:$I,Data!$H:$H,B43,Data!$E:$E,$C$9,Data!$F:$F,$C$10)</f>
        <v>324987</v>
      </c>
      <c r="D43" s="54" t="s">
        <v>49</v>
      </c>
      <c r="E43" s="52"/>
      <c r="F43" s="53">
        <f>SUMIFS(Data!$N:$N,Data!$H:$H,B43,Data!$E:$E,$C$9,Data!$F:$F,$C$10)</f>
        <v>638.27446800000007</v>
      </c>
      <c r="G43" s="297"/>
      <c r="I43" s="67" t="s">
        <v>48</v>
      </c>
      <c r="J43" s="60">
        <f>SUMIFS(Data!$J:$J,Data!$H:$H,I43,Data!$E:$E,$J$10,Data!$C:$C,$J$9,Data!$F:$F,$J$11)</f>
        <v>324987</v>
      </c>
      <c r="K43" s="54" t="s">
        <v>49</v>
      </c>
      <c r="L43" s="52" t="e">
        <f>SUMIFS('[2]Input keuzevariabelen'!$H$11:$H$81,'[2]Input keuzevariabelen'!$E$11:$E$81,[2]Footprints!I45,'[2]Input keuzevariabelen'!$J$11:$J$81,[2]Footprints!$E$14)</f>
        <v>#VALUE!</v>
      </c>
      <c r="M43" s="62">
        <f>SUMIFS(Data!$N:$N,Data!$H:$H,I43,Data!$E:$E,$J$10,Data!$C:$C,$J$9,Data!$F:$F,$J$11)</f>
        <v>638.27446800000007</v>
      </c>
      <c r="N43" s="2"/>
      <c r="O43" s="2"/>
      <c r="P43" s="303"/>
      <c r="Q43" s="304"/>
      <c r="R43" s="305"/>
      <c r="S43" s="306"/>
      <c r="T43" s="307"/>
      <c r="U43" s="2"/>
      <c r="V43" s="2"/>
      <c r="W43" s="2"/>
    </row>
    <row r="44" spans="1:52" ht="15.75" customHeight="1" thickTop="1" thickBot="1" x14ac:dyDescent="0.25">
      <c r="A44" s="1"/>
      <c r="B44" s="296" t="s">
        <v>50</v>
      </c>
      <c r="C44" s="51">
        <f>SUMIFS(Data!$I:$I,Data!$H:$H,B44,Data!$E:$E,$C$9,Data!$F:$F,$C$10)</f>
        <v>207317</v>
      </c>
      <c r="D44" s="298" t="s">
        <v>49</v>
      </c>
      <c r="E44" s="52"/>
      <c r="F44" s="53">
        <f>SUMIFS(Data!$N:$N,Data!$H:$H,B44,Data!$E:$E,$C$9,Data!$F:$F,$C$10)</f>
        <v>407.17058800000007</v>
      </c>
      <c r="G44" s="297"/>
      <c r="I44" s="296" t="s">
        <v>50</v>
      </c>
      <c r="J44" s="60">
        <f>SUMIFS(Data!$J:$J,Data!$H:$H,I44,Data!$E:$E,$J$10,Data!$C:$C,$J$9,Data!$F:$F,$J$11)</f>
        <v>207317</v>
      </c>
      <c r="K44" s="298" t="s">
        <v>49</v>
      </c>
      <c r="L44" s="52" t="e">
        <f>SUMIFS('[2]Input keuzevariabelen'!$H$11:$H$81,'[2]Input keuzevariabelen'!$E$11:$E$81,[2]Footprints!I46,'[2]Input keuzevariabelen'!$J$11:$J$81,[2]Footprints!$E$14)</f>
        <v>#VALUE!</v>
      </c>
      <c r="M44" s="62">
        <f>SUMIFS(Data!$N:$N,Data!$H:$H,I44,Data!$E:$E,$J$10,Data!$C:$C,$J$9,Data!$F:$F,$J$11)</f>
        <v>407.17058800000007</v>
      </c>
      <c r="N44" s="2"/>
      <c r="O44" s="2"/>
      <c r="P44" s="299"/>
      <c r="Q44" s="304"/>
      <c r="R44" s="308"/>
      <c r="S44" s="306"/>
      <c r="T44" s="307"/>
      <c r="U44" s="2"/>
      <c r="V44" s="2"/>
      <c r="W44" s="2"/>
    </row>
    <row r="45" spans="1:52" ht="15.75" customHeight="1" thickTop="1" x14ac:dyDescent="0.2">
      <c r="B45" s="17"/>
      <c r="C45" s="1"/>
      <c r="D45" s="1"/>
      <c r="E45" s="268" t="s">
        <v>51</v>
      </c>
      <c r="F45" s="269">
        <f>SUM(F43:F44)</f>
        <v>1045.445056</v>
      </c>
      <c r="G45" s="297"/>
      <c r="I45" s="17"/>
      <c r="J45" s="1"/>
      <c r="K45" s="1"/>
      <c r="L45" s="268" t="s">
        <v>51</v>
      </c>
      <c r="M45" s="269">
        <f>SUM(M43:M44)</f>
        <v>1045.445056</v>
      </c>
      <c r="N45" s="2"/>
      <c r="O45" s="2"/>
      <c r="P45" s="17"/>
      <c r="Q45" s="1"/>
      <c r="R45" s="1"/>
      <c r="S45" s="275"/>
      <c r="T45" s="309"/>
      <c r="U45" s="2"/>
      <c r="V45" s="2"/>
      <c r="W45" s="2"/>
    </row>
    <row r="46" spans="1:52" ht="15.75" customHeight="1" x14ac:dyDescent="0.2">
      <c r="A46" s="1"/>
      <c r="B46" s="2"/>
      <c r="C46" s="2"/>
      <c r="D46" s="2"/>
      <c r="E46" s="2"/>
      <c r="F46" s="271"/>
      <c r="G46" s="3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52" ht="15.75" customHeight="1" x14ac:dyDescent="0.2">
      <c r="A47" s="1"/>
      <c r="B47" s="162" t="s">
        <v>52</v>
      </c>
      <c r="C47" s="162"/>
      <c r="D47" s="2"/>
      <c r="E47" s="2"/>
      <c r="F47" s="1"/>
      <c r="G47" s="36"/>
      <c r="I47" s="162" t="s">
        <v>53</v>
      </c>
      <c r="J47" s="16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AC47" s="2"/>
      <c r="AD47" s="2"/>
      <c r="AE47" s="2"/>
      <c r="AX47" s="31"/>
      <c r="AY47" s="31"/>
      <c r="AZ47" s="31"/>
    </row>
    <row r="48" spans="1:52" ht="15.75" customHeight="1" x14ac:dyDescent="0.2">
      <c r="A48" s="1"/>
      <c r="B48" s="6" t="s">
        <v>54</v>
      </c>
      <c r="C48" s="7" t="s">
        <v>55</v>
      </c>
      <c r="D48" s="2"/>
      <c r="E48" s="2"/>
      <c r="F48" s="1"/>
      <c r="G48" s="36"/>
      <c r="I48" s="6" t="s">
        <v>54</v>
      </c>
      <c r="J48" s="7" t="s">
        <v>55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AC48" s="2"/>
      <c r="AD48" s="2"/>
      <c r="AE48" s="2"/>
      <c r="AX48" s="31"/>
      <c r="AY48" s="31"/>
      <c r="AZ48" s="31"/>
    </row>
    <row r="49" spans="1:52" ht="15.75" customHeight="1" x14ac:dyDescent="0.2">
      <c r="A49" s="1"/>
      <c r="B49" s="163" t="s">
        <v>21</v>
      </c>
      <c r="C49" s="33">
        <f>F16</f>
        <v>3397.5135736049997</v>
      </c>
      <c r="D49" s="2"/>
      <c r="E49" s="2"/>
      <c r="F49" s="11"/>
      <c r="G49" s="36"/>
      <c r="I49" s="163" t="s">
        <v>21</v>
      </c>
      <c r="J49" s="33">
        <f>M16</f>
        <v>3290.0987249999998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AC49" s="2"/>
      <c r="AD49" s="2"/>
      <c r="AE49" s="2"/>
      <c r="AX49" s="31"/>
      <c r="AY49" s="31"/>
      <c r="AZ49" s="31"/>
    </row>
    <row r="50" spans="1:52" ht="15.75" customHeight="1" x14ac:dyDescent="0.2">
      <c r="A50" s="1"/>
      <c r="B50" s="163" t="s">
        <v>56</v>
      </c>
      <c r="C50" s="33">
        <f>F17</f>
        <v>145.82364060496934</v>
      </c>
      <c r="D50" s="2"/>
      <c r="E50" s="2"/>
      <c r="F50" s="11"/>
      <c r="G50" s="36"/>
      <c r="I50" s="163" t="s">
        <v>56</v>
      </c>
      <c r="J50" s="33">
        <f>M17</f>
        <v>99.034320000000008</v>
      </c>
      <c r="K50" s="2"/>
      <c r="L50" s="2"/>
      <c r="M50" s="2"/>
      <c r="N50" s="2"/>
      <c r="O50" s="2"/>
      <c r="P50" s="2"/>
      <c r="AC50" s="2"/>
      <c r="AD50" s="2"/>
      <c r="AE50" s="2"/>
      <c r="AX50" s="31"/>
      <c r="AY50" s="31"/>
      <c r="AZ50" s="31"/>
    </row>
    <row r="51" spans="1:52" ht="15.75" customHeight="1" x14ac:dyDescent="0.2">
      <c r="A51" s="1"/>
      <c r="B51" s="163" t="s">
        <v>57</v>
      </c>
      <c r="C51" s="33">
        <f>SUM(F18:F19)</f>
        <v>87.305294772880302</v>
      </c>
      <c r="D51" s="2"/>
      <c r="E51" s="2"/>
      <c r="F51" s="11"/>
      <c r="G51" s="36"/>
      <c r="I51" s="163" t="s">
        <v>57</v>
      </c>
      <c r="J51" s="33">
        <f>SUM(M18:M19)</f>
        <v>86.053439999999995</v>
      </c>
      <c r="K51" s="2"/>
      <c r="L51" s="2"/>
      <c r="M51" s="2"/>
      <c r="N51" s="2"/>
      <c r="O51" s="2"/>
      <c r="P51" s="2"/>
      <c r="AC51" s="2"/>
      <c r="AD51" s="2"/>
      <c r="AE51" s="2"/>
      <c r="AX51" s="31"/>
      <c r="AY51" s="31"/>
      <c r="AZ51" s="31"/>
    </row>
    <row r="52" spans="1:52" ht="15.75" customHeight="1" x14ac:dyDescent="0.2">
      <c r="A52" s="1"/>
      <c r="B52" s="163" t="s">
        <v>58</v>
      </c>
      <c r="C52" s="33">
        <f>SUM(F22:F23)</f>
        <v>29.013579563654396</v>
      </c>
      <c r="D52" s="2"/>
      <c r="E52" s="2"/>
      <c r="F52" s="11"/>
      <c r="G52" s="36"/>
      <c r="I52" s="163" t="s">
        <v>58</v>
      </c>
      <c r="J52" s="33">
        <f>SUM(M22:M23)</f>
        <v>0</v>
      </c>
      <c r="K52" s="2"/>
      <c r="L52" s="2"/>
      <c r="M52" s="2"/>
      <c r="N52" s="2"/>
      <c r="O52" s="2"/>
      <c r="P52" s="2"/>
      <c r="AC52" s="2"/>
      <c r="AD52" s="2"/>
      <c r="AE52" s="2"/>
      <c r="AX52" s="31"/>
      <c r="AY52" s="31"/>
      <c r="AZ52" s="31"/>
    </row>
    <row r="53" spans="1:52" ht="15.75" customHeight="1" x14ac:dyDescent="0.2">
      <c r="A53" s="1"/>
      <c r="B53" s="163" t="s">
        <v>59</v>
      </c>
      <c r="C53" s="33">
        <f>F24</f>
        <v>0</v>
      </c>
      <c r="D53" s="2"/>
      <c r="E53" s="2"/>
      <c r="F53" s="11"/>
      <c r="G53" s="36"/>
      <c r="I53" s="163" t="s">
        <v>59</v>
      </c>
      <c r="J53" s="33">
        <f>M24</f>
        <v>0</v>
      </c>
      <c r="K53" s="2"/>
      <c r="L53" s="2"/>
      <c r="M53" s="2"/>
      <c r="N53" s="2"/>
      <c r="O53" s="2"/>
      <c r="P53" s="2"/>
      <c r="AC53" s="2"/>
      <c r="AD53" s="2"/>
      <c r="AE53" s="2"/>
      <c r="AX53" s="31"/>
      <c r="AY53" s="31"/>
      <c r="AZ53" s="31"/>
    </row>
    <row r="54" spans="1:52" ht="15.75" customHeight="1" x14ac:dyDescent="0.2">
      <c r="A54" s="1"/>
      <c r="B54" s="163" t="s">
        <v>60</v>
      </c>
      <c r="C54" s="33">
        <f>F25</f>
        <v>1.286876541</v>
      </c>
      <c r="D54" s="2"/>
      <c r="E54" s="2"/>
      <c r="F54" s="11"/>
      <c r="G54" s="36"/>
      <c r="I54" s="163" t="s">
        <v>60</v>
      </c>
      <c r="J54" s="33">
        <f>M25</f>
        <v>0</v>
      </c>
      <c r="K54" s="2"/>
      <c r="L54" s="2"/>
      <c r="M54" s="2"/>
      <c r="N54" s="2"/>
      <c r="O54" s="2"/>
      <c r="P54" s="2"/>
      <c r="AC54" s="2"/>
      <c r="AD54" s="2"/>
      <c r="AE54" s="2"/>
      <c r="AX54" s="31"/>
      <c r="AY54" s="31"/>
      <c r="AZ54" s="31"/>
    </row>
    <row r="55" spans="1:52" ht="15.75" customHeight="1" x14ac:dyDescent="0.2">
      <c r="A55" s="1"/>
      <c r="B55" s="163" t="s">
        <v>61</v>
      </c>
      <c r="C55" s="34">
        <f>SUM(F30:F31)</f>
        <v>58.353882203789475</v>
      </c>
      <c r="D55" s="2"/>
      <c r="E55" s="2"/>
      <c r="F55" s="11"/>
      <c r="G55" s="36"/>
      <c r="I55" s="163" t="s">
        <v>61</v>
      </c>
      <c r="J55" s="34">
        <f>SUM(M30:M31)</f>
        <v>54.256160000000001</v>
      </c>
      <c r="K55" s="2"/>
      <c r="L55" s="2"/>
      <c r="M55" s="2"/>
      <c r="N55" s="2"/>
      <c r="O55" s="2"/>
      <c r="P55" s="2"/>
      <c r="AC55" s="2"/>
      <c r="AD55" s="2"/>
      <c r="AE55" s="2"/>
      <c r="AX55" s="31"/>
      <c r="AY55" s="31"/>
      <c r="AZ55" s="31"/>
    </row>
    <row r="56" spans="1:52" ht="15.75" customHeight="1" x14ac:dyDescent="0.2">
      <c r="A56" s="1"/>
      <c r="B56" s="32" t="s">
        <v>62</v>
      </c>
      <c r="C56" s="34">
        <f>SUM(F33:F35)</f>
        <v>9.4292544000000006E-2</v>
      </c>
      <c r="D56" s="2"/>
      <c r="E56" s="2"/>
      <c r="F56" s="1"/>
      <c r="G56" s="36"/>
      <c r="I56" s="32" t="s">
        <v>62</v>
      </c>
      <c r="J56" s="34">
        <f>SUM(M33:M35)</f>
        <v>0</v>
      </c>
      <c r="K56" s="2"/>
      <c r="L56" s="2"/>
      <c r="M56" s="2"/>
      <c r="N56" s="2"/>
      <c r="O56" s="2"/>
      <c r="P56" s="2"/>
      <c r="Q56" s="2"/>
      <c r="R56" s="2"/>
      <c r="S56" s="2"/>
    </row>
    <row r="57" spans="1:52" ht="15.75" customHeight="1" x14ac:dyDescent="0.2">
      <c r="A57" s="1"/>
      <c r="B57" s="2"/>
      <c r="C57" s="2"/>
      <c r="D57" s="2"/>
      <c r="E57" s="2"/>
      <c r="F57" s="1"/>
      <c r="G57" s="3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  <row r="58" spans="1:52" ht="15.75" customHeight="1" x14ac:dyDescent="0.2">
      <c r="A58" s="1"/>
      <c r="B58" s="2"/>
      <c r="C58" s="2"/>
      <c r="D58" s="2"/>
      <c r="E58" s="2"/>
      <c r="F58" s="1"/>
      <c r="G58" s="36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52" ht="15.75" customHeight="1" x14ac:dyDescent="0.2">
      <c r="A59" s="1"/>
      <c r="B59" s="2"/>
      <c r="C59" s="2"/>
      <c r="D59" s="2"/>
      <c r="E59" s="2"/>
      <c r="F59" s="1"/>
      <c r="G59" s="36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</row>
    <row r="60" spans="1:52" ht="15.75" customHeight="1" x14ac:dyDescent="0.2">
      <c r="A60" s="1"/>
      <c r="B60" s="2"/>
      <c r="C60" s="2"/>
      <c r="D60" s="2"/>
      <c r="E60" s="2"/>
      <c r="F60" s="1"/>
      <c r="G60" s="3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</row>
    <row r="61" spans="1:52" ht="15.75" customHeight="1" x14ac:dyDescent="0.2">
      <c r="A61" s="1"/>
      <c r="B61" s="2"/>
      <c r="C61" s="2"/>
      <c r="D61" s="2"/>
      <c r="E61" s="2"/>
      <c r="F61" s="1"/>
      <c r="G61" s="3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</row>
    <row r="62" spans="1:52" ht="15.75" customHeight="1" x14ac:dyDescent="0.2">
      <c r="A62" s="1"/>
      <c r="B62" s="2"/>
      <c r="C62" s="2"/>
      <c r="D62" s="2"/>
      <c r="E62" s="2"/>
      <c r="F62" s="1"/>
      <c r="G62" s="3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  <row r="63" spans="1:52" ht="15.75" customHeight="1" x14ac:dyDescent="0.2">
      <c r="A63" s="1"/>
      <c r="B63" s="2"/>
      <c r="C63" s="2"/>
      <c r="D63" s="2"/>
      <c r="E63" s="2"/>
      <c r="F63" s="1"/>
      <c r="G63" s="3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1:52" ht="15.75" customHeight="1" x14ac:dyDescent="0.2">
      <c r="A64" s="1"/>
      <c r="B64" s="2"/>
      <c r="C64" s="2"/>
      <c r="D64" s="2"/>
      <c r="E64" s="2"/>
      <c r="F64" s="1"/>
      <c r="G64" s="36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</row>
    <row r="65" spans="1:19" ht="15.75" customHeight="1" x14ac:dyDescent="0.2">
      <c r="A65" s="1"/>
      <c r="B65" s="2"/>
      <c r="C65" s="2"/>
      <c r="D65" s="2"/>
      <c r="E65" s="2"/>
      <c r="F65" s="1"/>
      <c r="G65" s="36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</row>
    <row r="66" spans="1:19" ht="15.75" customHeight="1" x14ac:dyDescent="0.2">
      <c r="A66" s="1"/>
      <c r="B66" s="2"/>
      <c r="C66" s="2"/>
      <c r="D66" s="2"/>
      <c r="E66" s="2"/>
      <c r="F66" s="1"/>
      <c r="G66" s="36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</row>
    <row r="67" spans="1:19" ht="15.75" customHeight="1" x14ac:dyDescent="0.2">
      <c r="A67" s="1"/>
      <c r="B67" s="2"/>
      <c r="C67" s="2"/>
      <c r="D67" s="2"/>
      <c r="E67" s="2"/>
      <c r="F67" s="1"/>
      <c r="G67" s="36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</row>
    <row r="68" spans="1:19" ht="15.75" customHeight="1" x14ac:dyDescent="0.2">
      <c r="A68" s="1"/>
      <c r="B68" s="2"/>
      <c r="C68" s="2"/>
      <c r="D68" s="2"/>
      <c r="E68" s="2"/>
      <c r="F68" s="1"/>
      <c r="G68" s="36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</row>
    <row r="69" spans="1:19" ht="15.75" customHeight="1" x14ac:dyDescent="0.2">
      <c r="A69" s="1"/>
      <c r="B69" s="2"/>
      <c r="C69" s="2"/>
      <c r="D69" s="2"/>
      <c r="E69" s="2"/>
      <c r="F69" s="1"/>
      <c r="G69" s="3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</row>
    <row r="70" spans="1:19" ht="15.75" customHeight="1" x14ac:dyDescent="0.2">
      <c r="A70" s="1"/>
      <c r="B70" s="2"/>
      <c r="C70" s="2"/>
      <c r="D70" s="2"/>
      <c r="E70" s="2"/>
      <c r="F70" s="1"/>
      <c r="G70" s="3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</row>
    <row r="71" spans="1:19" ht="15.75" customHeight="1" x14ac:dyDescent="0.2">
      <c r="A71" s="1"/>
      <c r="B71" s="2"/>
      <c r="C71" s="2"/>
      <c r="D71" s="2"/>
      <c r="E71" s="2"/>
      <c r="F71" s="1"/>
      <c r="G71" s="3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</row>
    <row r="72" spans="1:19" ht="15.75" customHeight="1" x14ac:dyDescent="0.2">
      <c r="A72" s="1"/>
      <c r="B72" s="2"/>
      <c r="C72" s="2"/>
      <c r="D72" s="2"/>
      <c r="E72" s="2"/>
      <c r="F72" s="1"/>
      <c r="G72" s="36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</row>
    <row r="73" spans="1:19" ht="15.75" customHeight="1" x14ac:dyDescent="0.2">
      <c r="A73" s="1"/>
      <c r="B73" s="2"/>
      <c r="C73" s="2"/>
      <c r="D73" s="2"/>
      <c r="E73" s="2"/>
      <c r="F73" s="1"/>
      <c r="G73" s="36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</row>
    <row r="74" spans="1:19" ht="15.75" customHeight="1" x14ac:dyDescent="0.2">
      <c r="A74" s="1"/>
      <c r="B74" s="2"/>
      <c r="C74" s="2"/>
      <c r="D74" s="2"/>
      <c r="E74" s="2"/>
      <c r="F74" s="1"/>
      <c r="G74" s="36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</row>
    <row r="75" spans="1:19" ht="15.75" customHeight="1" x14ac:dyDescent="0.2">
      <c r="A75" s="1"/>
      <c r="B75" s="2"/>
      <c r="C75" s="2"/>
      <c r="D75" s="2"/>
      <c r="E75" s="2"/>
      <c r="F75" s="1"/>
      <c r="G75" s="36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</row>
    <row r="76" spans="1:19" ht="15.75" customHeight="1" x14ac:dyDescent="0.2">
      <c r="A76" s="1"/>
      <c r="B76" s="2"/>
      <c r="C76" s="2"/>
      <c r="D76" s="2"/>
      <c r="E76" s="2"/>
      <c r="F76" s="1"/>
      <c r="G76" s="36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19" ht="15.75" customHeight="1" x14ac:dyDescent="0.2">
      <c r="A77" s="1"/>
      <c r="B77" s="2"/>
      <c r="C77" s="2"/>
      <c r="D77" s="2"/>
      <c r="E77" s="2"/>
      <c r="F77" s="1"/>
      <c r="G77" s="36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</row>
    <row r="78" spans="1:19" ht="15.75" customHeight="1" x14ac:dyDescent="0.2">
      <c r="A78" s="1"/>
      <c r="B78" s="2"/>
      <c r="C78" s="2"/>
      <c r="D78" s="2"/>
      <c r="E78" s="2"/>
      <c r="F78" s="1"/>
      <c r="G78" s="36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</row>
    <row r="79" spans="1:19" ht="15.75" customHeight="1" x14ac:dyDescent="0.2">
      <c r="A79" s="1"/>
      <c r="B79" s="2"/>
      <c r="C79" s="2"/>
      <c r="D79" s="2"/>
      <c r="E79" s="2"/>
      <c r="F79" s="1"/>
      <c r="G79" s="36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</row>
    <row r="80" spans="1:19" ht="15.75" customHeight="1" x14ac:dyDescent="0.2">
      <c r="A80" s="1"/>
      <c r="B80" s="2"/>
      <c r="C80" s="2"/>
      <c r="D80" s="2"/>
      <c r="E80" s="2"/>
      <c r="F80" s="1"/>
      <c r="G80" s="36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</row>
    <row r="81" spans="1:19" ht="15.75" customHeight="1" x14ac:dyDescent="0.2">
      <c r="A81" s="1"/>
      <c r="B81" s="2"/>
      <c r="C81" s="2"/>
      <c r="D81" s="2"/>
      <c r="E81" s="2"/>
      <c r="F81" s="1"/>
      <c r="G81" s="36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</row>
    <row r="82" spans="1:19" ht="15.75" customHeight="1" x14ac:dyDescent="0.2">
      <c r="A82" s="1"/>
      <c r="B82" s="2"/>
      <c r="C82" s="2"/>
      <c r="D82" s="2"/>
      <c r="E82" s="2"/>
      <c r="F82" s="1"/>
      <c r="G82" s="36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</row>
    <row r="83" spans="1:19" ht="15.75" customHeight="1" x14ac:dyDescent="0.2">
      <c r="A83" s="1"/>
      <c r="B83" s="2"/>
      <c r="C83" s="2"/>
      <c r="D83" s="2"/>
      <c r="E83" s="2"/>
      <c r="F83" s="1"/>
      <c r="G83" s="36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</row>
    <row r="84" spans="1:19" ht="15.75" customHeight="1" x14ac:dyDescent="0.2">
      <c r="A84" s="1"/>
      <c r="B84" s="2"/>
      <c r="C84" s="2"/>
      <c r="D84" s="2"/>
      <c r="E84" s="2"/>
      <c r="F84" s="1"/>
      <c r="G84" s="36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</row>
    <row r="85" spans="1:19" ht="15.75" customHeight="1" x14ac:dyDescent="0.2">
      <c r="A85" s="1"/>
      <c r="B85" s="2"/>
      <c r="C85" s="2"/>
      <c r="D85" s="2"/>
      <c r="E85" s="2"/>
      <c r="F85" s="1"/>
      <c r="G85" s="36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</row>
    <row r="86" spans="1:19" ht="15.75" customHeight="1" x14ac:dyDescent="0.2">
      <c r="A86" s="1"/>
      <c r="B86" s="2"/>
      <c r="C86" s="2"/>
      <c r="D86" s="2"/>
      <c r="E86" s="2"/>
      <c r="F86" s="1"/>
      <c r="G86" s="36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</row>
    <row r="87" spans="1:19" ht="15.75" customHeight="1" x14ac:dyDescent="0.2">
      <c r="A87" s="1"/>
      <c r="B87" s="2"/>
      <c r="C87" s="2"/>
      <c r="D87" s="2"/>
      <c r="E87" s="2"/>
      <c r="F87" s="1"/>
      <c r="G87" s="36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</row>
    <row r="88" spans="1:19" ht="15.75" customHeight="1" x14ac:dyDescent="0.2">
      <c r="A88" s="1"/>
      <c r="B88" s="2"/>
      <c r="C88" s="2"/>
      <c r="D88" s="2"/>
      <c r="E88" s="2"/>
      <c r="F88" s="1"/>
      <c r="G88" s="36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</row>
    <row r="89" spans="1:19" ht="15.75" customHeight="1" x14ac:dyDescent="0.2">
      <c r="A89" s="1"/>
      <c r="B89" s="2"/>
      <c r="C89" s="2"/>
      <c r="D89" s="2"/>
      <c r="E89" s="2"/>
      <c r="F89" s="1"/>
      <c r="G89" s="36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1:19" ht="15.75" customHeight="1" x14ac:dyDescent="0.2">
      <c r="A90" s="1"/>
      <c r="B90" s="2"/>
      <c r="C90" s="2"/>
      <c r="D90" s="2"/>
      <c r="E90" s="2"/>
      <c r="F90" s="1"/>
      <c r="G90" s="36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  <row r="91" spans="1:19" ht="15.75" customHeight="1" x14ac:dyDescent="0.2">
      <c r="A91" s="1"/>
      <c r="B91" s="2"/>
      <c r="C91" s="2"/>
      <c r="D91" s="2"/>
      <c r="E91" s="2"/>
      <c r="F91" s="1"/>
      <c r="G91" s="36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</row>
    <row r="92" spans="1:19" ht="15.75" customHeight="1" x14ac:dyDescent="0.2">
      <c r="A92" s="1"/>
      <c r="B92" s="2"/>
      <c r="C92" s="2"/>
      <c r="D92" s="2"/>
      <c r="E92" s="2"/>
      <c r="F92" s="1"/>
      <c r="G92" s="36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</row>
    <row r="93" spans="1:19" ht="15.75" customHeight="1" x14ac:dyDescent="0.2">
      <c r="A93" s="1"/>
      <c r="B93" s="2"/>
      <c r="C93" s="2"/>
      <c r="D93" s="2"/>
      <c r="E93" s="2"/>
      <c r="F93" s="1"/>
      <c r="G93" s="36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</row>
    <row r="94" spans="1:19" ht="15.75" customHeight="1" x14ac:dyDescent="0.2">
      <c r="A94" s="1"/>
      <c r="B94" s="2"/>
      <c r="C94" s="2"/>
      <c r="D94" s="2"/>
      <c r="E94" s="2"/>
      <c r="F94" s="1"/>
      <c r="G94" s="36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19" ht="15.75" customHeight="1" x14ac:dyDescent="0.2">
      <c r="A95" s="1"/>
      <c r="B95" s="2"/>
      <c r="C95" s="2"/>
      <c r="D95" s="2"/>
      <c r="E95" s="2"/>
      <c r="F95" s="1"/>
      <c r="G95" s="36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19" ht="15.75" customHeight="1" x14ac:dyDescent="0.2">
      <c r="A96" s="1"/>
      <c r="B96" s="2"/>
      <c r="C96" s="2"/>
      <c r="D96" s="2"/>
      <c r="E96" s="2"/>
      <c r="F96" s="1"/>
      <c r="G96" s="36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 ht="15.75" customHeight="1" x14ac:dyDescent="0.2">
      <c r="A97" s="1"/>
      <c r="B97" s="2"/>
      <c r="C97" s="2"/>
      <c r="D97" s="2"/>
      <c r="E97" s="2"/>
      <c r="F97" s="1"/>
      <c r="G97" s="36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 ht="15.75" customHeight="1" x14ac:dyDescent="0.2">
      <c r="A98" s="1"/>
      <c r="B98" s="2"/>
      <c r="C98" s="2"/>
      <c r="D98" s="2"/>
      <c r="E98" s="2"/>
      <c r="F98" s="1"/>
      <c r="G98" s="36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 ht="15.75" customHeight="1" x14ac:dyDescent="0.2">
      <c r="A99" s="1"/>
      <c r="B99" s="2"/>
      <c r="C99" s="2"/>
      <c r="D99" s="2"/>
      <c r="E99" s="2"/>
      <c r="F99" s="1"/>
      <c r="G99" s="36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 ht="15.75" customHeight="1" x14ac:dyDescent="0.2">
      <c r="A100" s="1"/>
      <c r="B100" s="2"/>
      <c r="C100" s="2"/>
      <c r="D100" s="2"/>
      <c r="E100" s="2"/>
      <c r="F100" s="1"/>
      <c r="G100" s="36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 ht="15.75" customHeight="1" x14ac:dyDescent="0.2">
      <c r="A101" s="1"/>
      <c r="B101" s="2"/>
      <c r="C101" s="2"/>
      <c r="D101" s="2"/>
      <c r="E101" s="2"/>
      <c r="F101" s="1"/>
      <c r="G101" s="36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 ht="15.75" customHeight="1" x14ac:dyDescent="0.2">
      <c r="A102" s="1"/>
      <c r="B102" s="2"/>
      <c r="C102" s="2"/>
      <c r="D102" s="2"/>
      <c r="E102" s="2"/>
      <c r="F102" s="1"/>
      <c r="G102" s="36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 ht="15.75" customHeight="1" x14ac:dyDescent="0.2">
      <c r="A103" s="1"/>
      <c r="B103" s="2"/>
      <c r="C103" s="2"/>
      <c r="D103" s="2"/>
      <c r="E103" s="2"/>
      <c r="F103" s="1"/>
      <c r="G103" s="36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 ht="15.75" customHeight="1" x14ac:dyDescent="0.2">
      <c r="A104" s="1"/>
      <c r="B104" s="2"/>
      <c r="C104" s="2"/>
      <c r="D104" s="2"/>
      <c r="E104" s="2"/>
      <c r="F104" s="1"/>
      <c r="G104" s="36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 ht="15.75" customHeight="1" x14ac:dyDescent="0.2">
      <c r="A105" s="1"/>
      <c r="B105" s="2"/>
      <c r="C105" s="2"/>
      <c r="D105" s="2"/>
      <c r="E105" s="2"/>
      <c r="F105" s="1"/>
      <c r="G105" s="36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 ht="15.75" customHeight="1" x14ac:dyDescent="0.2">
      <c r="A106" s="1"/>
      <c r="B106" s="2"/>
      <c r="C106" s="2"/>
      <c r="D106" s="2"/>
      <c r="E106" s="2"/>
      <c r="F106" s="1"/>
      <c r="G106" s="36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 ht="15.75" customHeight="1" x14ac:dyDescent="0.2">
      <c r="A107" s="1"/>
      <c r="B107" s="2"/>
      <c r="C107" s="2"/>
      <c r="D107" s="2"/>
      <c r="E107" s="2"/>
      <c r="F107" s="1"/>
      <c r="G107" s="36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 ht="15.75" customHeight="1" x14ac:dyDescent="0.2">
      <c r="A108" s="1"/>
      <c r="B108" s="2"/>
      <c r="C108" s="2"/>
      <c r="D108" s="2"/>
      <c r="E108" s="2"/>
      <c r="F108" s="1"/>
      <c r="G108" s="36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 ht="15.75" customHeight="1" x14ac:dyDescent="0.2">
      <c r="A109" s="1"/>
      <c r="B109" s="2"/>
      <c r="C109" s="2"/>
      <c r="D109" s="2"/>
      <c r="E109" s="2"/>
      <c r="F109" s="1"/>
      <c r="G109" s="36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5.75" customHeight="1" x14ac:dyDescent="0.2">
      <c r="A110" s="1"/>
      <c r="B110" s="2"/>
      <c r="C110" s="2"/>
      <c r="D110" s="2"/>
      <c r="E110" s="2"/>
      <c r="F110" s="1"/>
      <c r="G110" s="36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5.75" customHeight="1" x14ac:dyDescent="0.2">
      <c r="A111" s="1"/>
      <c r="B111" s="2"/>
      <c r="C111" s="2"/>
      <c r="D111" s="2"/>
      <c r="E111" s="2"/>
      <c r="F111" s="1"/>
      <c r="G111" s="36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5.75" customHeight="1" x14ac:dyDescent="0.2">
      <c r="A112" s="1"/>
      <c r="B112" s="2"/>
      <c r="C112" s="2"/>
      <c r="D112" s="2"/>
      <c r="E112" s="2"/>
      <c r="F112" s="1"/>
      <c r="G112" s="36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5.75" customHeight="1" x14ac:dyDescent="0.2">
      <c r="A113" s="1"/>
      <c r="B113" s="2"/>
      <c r="C113" s="2"/>
      <c r="D113" s="2"/>
      <c r="E113" s="2"/>
      <c r="F113" s="1"/>
      <c r="G113" s="36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5.75" customHeight="1" x14ac:dyDescent="0.2">
      <c r="A114" s="1"/>
      <c r="B114" s="2"/>
      <c r="C114" s="2"/>
      <c r="D114" s="2"/>
      <c r="E114" s="2"/>
      <c r="F114" s="1"/>
      <c r="G114" s="36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5.75" customHeight="1" x14ac:dyDescent="0.2">
      <c r="A115" s="1"/>
      <c r="B115" s="2"/>
      <c r="C115" s="2"/>
      <c r="D115" s="2"/>
      <c r="E115" s="2"/>
      <c r="F115" s="1"/>
      <c r="G115" s="36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5.75" customHeight="1" x14ac:dyDescent="0.2">
      <c r="A116" s="1"/>
      <c r="B116" s="2"/>
      <c r="C116" s="2"/>
      <c r="D116" s="2"/>
      <c r="E116" s="2"/>
      <c r="F116" s="1"/>
      <c r="G116" s="36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5.75" customHeight="1" x14ac:dyDescent="0.2">
      <c r="A117" s="1"/>
      <c r="B117" s="2"/>
      <c r="C117" s="2"/>
      <c r="D117" s="2"/>
      <c r="E117" s="2"/>
      <c r="F117" s="1"/>
      <c r="G117" s="36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5.75" customHeight="1" x14ac:dyDescent="0.2">
      <c r="A118" s="1"/>
      <c r="B118" s="2"/>
      <c r="C118" s="2"/>
      <c r="D118" s="2"/>
      <c r="E118" s="2"/>
      <c r="F118" s="1"/>
      <c r="G118" s="36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5.75" customHeight="1" x14ac:dyDescent="0.2">
      <c r="A119" s="1"/>
      <c r="B119" s="2"/>
      <c r="C119" s="2"/>
      <c r="D119" s="2"/>
      <c r="E119" s="2"/>
      <c r="F119" s="1"/>
      <c r="G119" s="36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5.75" customHeight="1" x14ac:dyDescent="0.2">
      <c r="A120" s="1"/>
      <c r="B120" s="2"/>
      <c r="C120" s="2"/>
      <c r="D120" s="2"/>
      <c r="E120" s="2"/>
      <c r="F120" s="1"/>
      <c r="G120" s="36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5.75" customHeight="1" x14ac:dyDescent="0.2">
      <c r="A121" s="1"/>
      <c r="B121" s="2"/>
      <c r="C121" s="2"/>
      <c r="D121" s="2"/>
      <c r="E121" s="2"/>
      <c r="F121" s="1"/>
      <c r="G121" s="36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5.75" customHeight="1" x14ac:dyDescent="0.2">
      <c r="A122" s="1"/>
      <c r="B122" s="2"/>
      <c r="C122" s="2"/>
      <c r="D122" s="2"/>
      <c r="E122" s="2"/>
      <c r="F122" s="1"/>
      <c r="G122" s="36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5.75" customHeight="1" x14ac:dyDescent="0.2">
      <c r="A123" s="1"/>
      <c r="B123" s="2"/>
      <c r="C123" s="2"/>
      <c r="D123" s="2"/>
      <c r="E123" s="2"/>
      <c r="F123" s="1"/>
      <c r="G123" s="36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5.75" customHeight="1" x14ac:dyDescent="0.2">
      <c r="A124" s="1"/>
      <c r="B124" s="2"/>
      <c r="C124" s="2"/>
      <c r="D124" s="2"/>
      <c r="E124" s="2"/>
      <c r="F124" s="1"/>
      <c r="G124" s="36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5.75" customHeight="1" x14ac:dyDescent="0.2">
      <c r="A125" s="1"/>
      <c r="B125" s="2"/>
      <c r="C125" s="2"/>
      <c r="D125" s="2"/>
      <c r="E125" s="2"/>
      <c r="F125" s="1"/>
      <c r="G125" s="36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5.75" customHeight="1" x14ac:dyDescent="0.2">
      <c r="A126" s="1"/>
      <c r="B126" s="2"/>
      <c r="C126" s="2"/>
      <c r="D126" s="2"/>
      <c r="E126" s="2"/>
      <c r="F126" s="1"/>
      <c r="G126" s="36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5.75" customHeight="1" x14ac:dyDescent="0.2">
      <c r="A127" s="1"/>
      <c r="B127" s="2"/>
      <c r="C127" s="2"/>
      <c r="D127" s="2"/>
      <c r="E127" s="2"/>
      <c r="F127" s="1"/>
      <c r="G127" s="36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5.75" customHeight="1" x14ac:dyDescent="0.2">
      <c r="A128" s="1"/>
      <c r="B128" s="2"/>
      <c r="C128" s="2"/>
      <c r="D128" s="2"/>
      <c r="E128" s="2"/>
      <c r="F128" s="1"/>
      <c r="G128" s="36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5.75" customHeight="1" x14ac:dyDescent="0.2">
      <c r="A129" s="1"/>
      <c r="B129" s="2"/>
      <c r="C129" s="2"/>
      <c r="D129" s="2"/>
      <c r="E129" s="2"/>
      <c r="F129" s="1"/>
      <c r="G129" s="36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5.75" customHeight="1" x14ac:dyDescent="0.2">
      <c r="A130" s="1"/>
      <c r="B130" s="2"/>
      <c r="C130" s="2"/>
      <c r="D130" s="2"/>
      <c r="E130" s="2"/>
      <c r="F130" s="1"/>
      <c r="G130" s="36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5.75" customHeight="1" x14ac:dyDescent="0.2">
      <c r="A131" s="1"/>
      <c r="B131" s="2"/>
      <c r="C131" s="2"/>
      <c r="D131" s="2"/>
      <c r="E131" s="2"/>
      <c r="F131" s="1"/>
      <c r="G131" s="36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5.75" customHeight="1" x14ac:dyDescent="0.2">
      <c r="A132" s="1"/>
      <c r="B132" s="2"/>
      <c r="C132" s="2"/>
      <c r="D132" s="2"/>
      <c r="E132" s="2"/>
      <c r="F132" s="1"/>
      <c r="G132" s="36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5.75" customHeight="1" x14ac:dyDescent="0.2">
      <c r="A133" s="1"/>
      <c r="B133" s="2"/>
      <c r="C133" s="2"/>
      <c r="D133" s="2"/>
      <c r="E133" s="2"/>
      <c r="F133" s="1"/>
      <c r="G133" s="36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5.75" customHeight="1" x14ac:dyDescent="0.2">
      <c r="A134" s="1"/>
      <c r="B134" s="2"/>
      <c r="C134" s="2"/>
      <c r="D134" s="2"/>
      <c r="E134" s="2"/>
      <c r="F134" s="1"/>
      <c r="G134" s="36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5.75" customHeight="1" x14ac:dyDescent="0.2">
      <c r="A135" s="1"/>
      <c r="B135" s="2"/>
      <c r="C135" s="2"/>
      <c r="D135" s="2"/>
      <c r="E135" s="2"/>
      <c r="F135" s="1"/>
      <c r="G135" s="36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5.75" customHeight="1" x14ac:dyDescent="0.2">
      <c r="A136" s="1"/>
      <c r="B136" s="2"/>
      <c r="C136" s="2"/>
      <c r="D136" s="2"/>
      <c r="E136" s="2"/>
      <c r="F136" s="1"/>
      <c r="G136" s="36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5.75" customHeight="1" x14ac:dyDescent="0.2">
      <c r="A137" s="1"/>
      <c r="B137" s="2"/>
      <c r="C137" s="2"/>
      <c r="D137" s="2"/>
      <c r="E137" s="2"/>
      <c r="F137" s="1"/>
      <c r="G137" s="36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5.75" customHeight="1" x14ac:dyDescent="0.2">
      <c r="A138" s="1"/>
      <c r="B138" s="2"/>
      <c r="C138" s="2"/>
      <c r="D138" s="2"/>
      <c r="E138" s="2"/>
      <c r="F138" s="1"/>
      <c r="G138" s="36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5.75" customHeight="1" x14ac:dyDescent="0.2">
      <c r="A139" s="1"/>
      <c r="B139" s="2"/>
      <c r="C139" s="2"/>
      <c r="D139" s="2"/>
      <c r="E139" s="2"/>
      <c r="F139" s="1"/>
      <c r="G139" s="36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5.75" customHeight="1" x14ac:dyDescent="0.2">
      <c r="A140" s="1"/>
      <c r="B140" s="2"/>
      <c r="C140" s="2"/>
      <c r="D140" s="2"/>
      <c r="E140" s="2"/>
      <c r="F140" s="1"/>
      <c r="G140" s="36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5.75" customHeight="1" x14ac:dyDescent="0.2">
      <c r="A141" s="1"/>
      <c r="B141" s="2"/>
      <c r="C141" s="2"/>
      <c r="D141" s="2"/>
      <c r="E141" s="2"/>
      <c r="F141" s="1"/>
      <c r="G141" s="36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5.75" customHeight="1" x14ac:dyDescent="0.2">
      <c r="A142" s="1"/>
      <c r="B142" s="2"/>
      <c r="C142" s="2"/>
      <c r="D142" s="2"/>
      <c r="E142" s="2"/>
      <c r="F142" s="1"/>
      <c r="G142" s="36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5.75" customHeight="1" x14ac:dyDescent="0.2">
      <c r="A143" s="1"/>
      <c r="B143" s="2"/>
      <c r="C143" s="2"/>
      <c r="D143" s="2"/>
      <c r="E143" s="2"/>
      <c r="F143" s="1"/>
      <c r="G143" s="36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5.75" customHeight="1" x14ac:dyDescent="0.2">
      <c r="A144" s="1"/>
      <c r="B144" s="2"/>
      <c r="C144" s="2"/>
      <c r="D144" s="2"/>
      <c r="E144" s="2"/>
      <c r="F144" s="1"/>
      <c r="G144" s="36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5.75" customHeight="1" x14ac:dyDescent="0.2">
      <c r="A145" s="1"/>
      <c r="B145" s="2"/>
      <c r="C145" s="2"/>
      <c r="D145" s="2"/>
      <c r="E145" s="2"/>
      <c r="F145" s="1"/>
      <c r="G145" s="36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5.75" customHeight="1" x14ac:dyDescent="0.2">
      <c r="A146" s="1"/>
      <c r="B146" s="2"/>
      <c r="C146" s="2"/>
      <c r="D146" s="2"/>
      <c r="E146" s="2"/>
      <c r="F146" s="1"/>
      <c r="G146" s="36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5.75" customHeight="1" x14ac:dyDescent="0.2">
      <c r="A147" s="1"/>
      <c r="B147" s="2"/>
      <c r="C147" s="2"/>
      <c r="D147" s="2"/>
      <c r="E147" s="2"/>
      <c r="F147" s="1"/>
      <c r="G147" s="36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5.75" customHeight="1" x14ac:dyDescent="0.2">
      <c r="A148" s="1"/>
      <c r="B148" s="2"/>
      <c r="C148" s="2"/>
      <c r="D148" s="2"/>
      <c r="E148" s="2"/>
      <c r="F148" s="1"/>
      <c r="G148" s="36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5.75" customHeight="1" x14ac:dyDescent="0.2">
      <c r="A149" s="1"/>
      <c r="B149" s="2"/>
      <c r="C149" s="2"/>
      <c r="D149" s="2"/>
      <c r="E149" s="2"/>
      <c r="F149" s="1"/>
      <c r="G149" s="36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5.75" customHeight="1" x14ac:dyDescent="0.2">
      <c r="A150" s="1"/>
      <c r="B150" s="2"/>
      <c r="C150" s="2"/>
      <c r="D150" s="2"/>
      <c r="E150" s="2"/>
      <c r="F150" s="1"/>
      <c r="G150" s="36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5.75" customHeight="1" x14ac:dyDescent="0.2">
      <c r="A151" s="1"/>
      <c r="B151" s="2"/>
      <c r="C151" s="2"/>
      <c r="D151" s="2"/>
      <c r="E151" s="2"/>
      <c r="F151" s="1"/>
      <c r="G151" s="36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5.75" customHeight="1" x14ac:dyDescent="0.2">
      <c r="A152" s="1"/>
      <c r="B152" s="2"/>
      <c r="C152" s="2"/>
      <c r="D152" s="2"/>
      <c r="E152" s="2"/>
      <c r="F152" s="1"/>
      <c r="G152" s="36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5.75" customHeight="1" x14ac:dyDescent="0.2">
      <c r="A153" s="1"/>
      <c r="B153" s="2"/>
      <c r="C153" s="2"/>
      <c r="D153" s="2"/>
      <c r="E153" s="2"/>
      <c r="F153" s="1"/>
      <c r="G153" s="36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5.75" customHeight="1" x14ac:dyDescent="0.2">
      <c r="A154" s="1"/>
      <c r="B154" s="2"/>
      <c r="C154" s="2"/>
      <c r="D154" s="2"/>
      <c r="E154" s="2"/>
      <c r="F154" s="1"/>
      <c r="G154" s="36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5.75" customHeight="1" x14ac:dyDescent="0.2">
      <c r="A155" s="1"/>
      <c r="B155" s="2"/>
      <c r="C155" s="2"/>
      <c r="D155" s="2"/>
      <c r="E155" s="2"/>
      <c r="F155" s="1"/>
      <c r="G155" s="36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5.75" customHeight="1" x14ac:dyDescent="0.2">
      <c r="A156" s="1"/>
      <c r="B156" s="2"/>
      <c r="C156" s="2"/>
      <c r="D156" s="2"/>
      <c r="E156" s="2"/>
      <c r="F156" s="1"/>
      <c r="G156" s="36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5.75" customHeight="1" x14ac:dyDescent="0.2">
      <c r="A157" s="1"/>
      <c r="B157" s="2"/>
      <c r="C157" s="2"/>
      <c r="D157" s="2"/>
      <c r="E157" s="2"/>
      <c r="F157" s="1"/>
      <c r="G157" s="36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5.75" customHeight="1" x14ac:dyDescent="0.2">
      <c r="A158" s="1"/>
      <c r="B158" s="2"/>
      <c r="C158" s="2"/>
      <c r="D158" s="2"/>
      <c r="E158" s="2"/>
      <c r="F158" s="1"/>
      <c r="G158" s="36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5.75" customHeight="1" x14ac:dyDescent="0.2">
      <c r="A159" s="1"/>
      <c r="B159" s="2"/>
      <c r="C159" s="2"/>
      <c r="D159" s="2"/>
      <c r="E159" s="2"/>
      <c r="F159" s="1"/>
      <c r="G159" s="36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5.75" customHeight="1" x14ac:dyDescent="0.2">
      <c r="A160" s="1"/>
      <c r="B160" s="2"/>
      <c r="C160" s="2"/>
      <c r="D160" s="2"/>
      <c r="E160" s="2"/>
      <c r="F160" s="1"/>
      <c r="G160" s="36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5.75" customHeight="1" x14ac:dyDescent="0.2">
      <c r="A161" s="1"/>
      <c r="B161" s="2"/>
      <c r="C161" s="2"/>
      <c r="D161" s="2"/>
      <c r="E161" s="2"/>
      <c r="F161" s="1"/>
      <c r="G161" s="36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5.75" customHeight="1" x14ac:dyDescent="0.2">
      <c r="A162" s="1"/>
      <c r="B162" s="2"/>
      <c r="C162" s="2"/>
      <c r="D162" s="2"/>
      <c r="E162" s="2"/>
      <c r="F162" s="1"/>
      <c r="G162" s="36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5.75" customHeight="1" x14ac:dyDescent="0.2">
      <c r="A163" s="1"/>
      <c r="B163" s="2"/>
      <c r="C163" s="2"/>
      <c r="D163" s="2"/>
      <c r="E163" s="2"/>
      <c r="F163" s="1"/>
      <c r="G163" s="36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5.75" customHeight="1" x14ac:dyDescent="0.2">
      <c r="A164" s="1"/>
      <c r="B164" s="2"/>
      <c r="C164" s="2"/>
      <c r="D164" s="2"/>
      <c r="E164" s="2"/>
      <c r="F164" s="1"/>
      <c r="G164" s="36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5.75" customHeight="1" x14ac:dyDescent="0.2">
      <c r="A165" s="1"/>
      <c r="B165" s="2"/>
      <c r="C165" s="2"/>
      <c r="D165" s="2"/>
      <c r="E165" s="2"/>
      <c r="F165" s="1"/>
      <c r="G165" s="36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5.75" customHeight="1" x14ac:dyDescent="0.2">
      <c r="A166" s="1"/>
      <c r="B166" s="2"/>
      <c r="C166" s="2"/>
      <c r="D166" s="2"/>
      <c r="E166" s="2"/>
      <c r="F166" s="1"/>
      <c r="G166" s="36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5.75" customHeight="1" x14ac:dyDescent="0.2">
      <c r="A167" s="1"/>
      <c r="B167" s="2"/>
      <c r="C167" s="2"/>
      <c r="D167" s="2"/>
      <c r="E167" s="2"/>
      <c r="F167" s="1"/>
      <c r="G167" s="36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5.75" customHeight="1" x14ac:dyDescent="0.2">
      <c r="A168" s="1"/>
      <c r="B168" s="2"/>
      <c r="C168" s="2"/>
      <c r="D168" s="2"/>
      <c r="E168" s="2"/>
      <c r="F168" s="1"/>
      <c r="G168" s="36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5.75" customHeight="1" x14ac:dyDescent="0.2">
      <c r="A169" s="1"/>
      <c r="B169" s="2"/>
      <c r="C169" s="2"/>
      <c r="D169" s="2"/>
      <c r="E169" s="2"/>
      <c r="F169" s="1"/>
      <c r="G169" s="36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5.75" customHeight="1" x14ac:dyDescent="0.2">
      <c r="A170" s="1"/>
      <c r="B170" s="2"/>
      <c r="C170" s="2"/>
      <c r="D170" s="2"/>
      <c r="E170" s="2"/>
      <c r="F170" s="1"/>
      <c r="G170" s="36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5.75" customHeight="1" x14ac:dyDescent="0.2">
      <c r="A171" s="1"/>
      <c r="B171" s="2"/>
      <c r="C171" s="2"/>
      <c r="D171" s="2"/>
      <c r="E171" s="2"/>
      <c r="F171" s="1"/>
      <c r="G171" s="36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5.75" customHeight="1" x14ac:dyDescent="0.2">
      <c r="A172" s="1"/>
      <c r="B172" s="2"/>
      <c r="C172" s="2"/>
      <c r="D172" s="2"/>
      <c r="E172" s="2"/>
      <c r="F172" s="1"/>
      <c r="G172" s="36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5.75" customHeight="1" x14ac:dyDescent="0.2">
      <c r="A173" s="1"/>
      <c r="B173" s="2"/>
      <c r="C173" s="2"/>
      <c r="D173" s="2"/>
      <c r="E173" s="2"/>
      <c r="F173" s="1"/>
      <c r="G173" s="36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5.75" customHeight="1" x14ac:dyDescent="0.2">
      <c r="A174" s="1"/>
      <c r="B174" s="2"/>
      <c r="C174" s="2"/>
      <c r="D174" s="2"/>
      <c r="E174" s="2"/>
      <c r="F174" s="1"/>
      <c r="G174" s="36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5.75" customHeight="1" x14ac:dyDescent="0.2">
      <c r="A175" s="1"/>
      <c r="B175" s="2"/>
      <c r="C175" s="2"/>
      <c r="D175" s="2"/>
      <c r="E175" s="2"/>
      <c r="F175" s="1"/>
      <c r="G175" s="36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5.75" customHeight="1" x14ac:dyDescent="0.2">
      <c r="A176" s="1"/>
      <c r="B176" s="2"/>
      <c r="C176" s="2"/>
      <c r="D176" s="2"/>
      <c r="E176" s="2"/>
      <c r="F176" s="1"/>
      <c r="G176" s="36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5.75" customHeight="1" x14ac:dyDescent="0.2">
      <c r="A177" s="1"/>
      <c r="B177" s="2"/>
      <c r="C177" s="2"/>
      <c r="D177" s="2"/>
      <c r="E177" s="2"/>
      <c r="F177" s="1"/>
      <c r="G177" s="36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5.75" customHeight="1" x14ac:dyDescent="0.2">
      <c r="A178" s="1"/>
      <c r="B178" s="2"/>
      <c r="C178" s="2"/>
      <c r="D178" s="2"/>
      <c r="E178" s="2"/>
      <c r="F178" s="1"/>
      <c r="G178" s="36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5.75" customHeight="1" x14ac:dyDescent="0.2">
      <c r="A179" s="1"/>
      <c r="B179" s="2"/>
      <c r="C179" s="2"/>
      <c r="D179" s="2"/>
      <c r="E179" s="2"/>
      <c r="F179" s="1"/>
      <c r="G179" s="36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5.75" customHeight="1" x14ac:dyDescent="0.2">
      <c r="A180" s="1"/>
      <c r="B180" s="2"/>
      <c r="C180" s="2"/>
      <c r="D180" s="2"/>
      <c r="E180" s="2"/>
      <c r="F180" s="1"/>
      <c r="G180" s="36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5.75" customHeight="1" x14ac:dyDescent="0.2">
      <c r="A181" s="1"/>
      <c r="B181" s="2"/>
      <c r="C181" s="2"/>
      <c r="D181" s="2"/>
      <c r="E181" s="2"/>
      <c r="F181" s="1"/>
      <c r="G181" s="36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5.75" customHeight="1" x14ac:dyDescent="0.2">
      <c r="A182" s="1"/>
      <c r="B182" s="2"/>
      <c r="C182" s="2"/>
      <c r="D182" s="2"/>
      <c r="E182" s="2"/>
      <c r="F182" s="1"/>
      <c r="G182" s="36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5.75" customHeight="1" x14ac:dyDescent="0.2">
      <c r="A183" s="1"/>
      <c r="B183" s="2"/>
      <c r="C183" s="2"/>
      <c r="D183" s="2"/>
      <c r="E183" s="2"/>
      <c r="F183" s="1"/>
      <c r="G183" s="36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5.75" customHeight="1" x14ac:dyDescent="0.2">
      <c r="A184" s="1"/>
      <c r="B184" s="2"/>
      <c r="C184" s="2"/>
      <c r="D184" s="2"/>
      <c r="E184" s="2"/>
      <c r="F184" s="1"/>
      <c r="G184" s="36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5.75" customHeight="1" x14ac:dyDescent="0.2">
      <c r="A185" s="1"/>
      <c r="B185" s="2"/>
      <c r="C185" s="2"/>
      <c r="D185" s="2"/>
      <c r="E185" s="2"/>
      <c r="F185" s="1"/>
      <c r="G185" s="36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5.75" customHeight="1" x14ac:dyDescent="0.2">
      <c r="A186" s="1"/>
      <c r="B186" s="2"/>
      <c r="C186" s="2"/>
      <c r="D186" s="2"/>
      <c r="E186" s="2"/>
      <c r="F186" s="1"/>
      <c r="G186" s="36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5.75" customHeight="1" x14ac:dyDescent="0.2">
      <c r="A187" s="1"/>
      <c r="B187" s="2"/>
      <c r="C187" s="2"/>
      <c r="D187" s="2"/>
      <c r="E187" s="2"/>
      <c r="F187" s="1"/>
      <c r="G187" s="36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5.75" customHeight="1" x14ac:dyDescent="0.2">
      <c r="A188" s="1"/>
      <c r="B188" s="2"/>
      <c r="C188" s="2"/>
      <c r="D188" s="2"/>
      <c r="E188" s="2"/>
      <c r="F188" s="1"/>
      <c r="G188" s="36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5.75" customHeight="1" x14ac:dyDescent="0.2">
      <c r="A189" s="1"/>
      <c r="B189" s="2"/>
      <c r="C189" s="2"/>
      <c r="D189" s="2"/>
      <c r="E189" s="2"/>
      <c r="F189" s="1"/>
      <c r="G189" s="36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5.75" customHeight="1" x14ac:dyDescent="0.2">
      <c r="A190" s="1"/>
      <c r="B190" s="2"/>
      <c r="C190" s="2"/>
      <c r="D190" s="2"/>
      <c r="E190" s="2"/>
      <c r="F190" s="1"/>
      <c r="G190" s="36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5.75" customHeight="1" x14ac:dyDescent="0.2">
      <c r="A191" s="1"/>
      <c r="B191" s="2"/>
      <c r="C191" s="2"/>
      <c r="D191" s="2"/>
      <c r="E191" s="2"/>
      <c r="F191" s="1"/>
      <c r="G191" s="36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5.75" customHeight="1" x14ac:dyDescent="0.2">
      <c r="A192" s="1"/>
      <c r="B192" s="2"/>
      <c r="C192" s="2"/>
      <c r="D192" s="2"/>
      <c r="E192" s="2"/>
      <c r="F192" s="1"/>
      <c r="G192" s="36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5.75" customHeight="1" x14ac:dyDescent="0.2">
      <c r="A193" s="1"/>
      <c r="B193" s="2"/>
      <c r="C193" s="2"/>
      <c r="D193" s="2"/>
      <c r="E193" s="2"/>
      <c r="F193" s="1"/>
      <c r="G193" s="36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5.75" customHeight="1" x14ac:dyDescent="0.2">
      <c r="A194" s="1"/>
      <c r="B194" s="2"/>
      <c r="C194" s="2"/>
      <c r="D194" s="2"/>
      <c r="E194" s="2"/>
      <c r="F194" s="1"/>
      <c r="G194" s="36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5.75" customHeight="1" x14ac:dyDescent="0.2">
      <c r="A195" s="1"/>
      <c r="B195" s="2"/>
      <c r="C195" s="2"/>
      <c r="D195" s="2"/>
      <c r="E195" s="2"/>
      <c r="F195" s="1"/>
      <c r="G195" s="36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5.75" customHeight="1" x14ac:dyDescent="0.2">
      <c r="A196" s="1"/>
      <c r="B196" s="2"/>
      <c r="C196" s="2"/>
      <c r="D196" s="2"/>
      <c r="E196" s="2"/>
      <c r="F196" s="1"/>
      <c r="G196" s="36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5.75" customHeight="1" x14ac:dyDescent="0.2">
      <c r="A197" s="1"/>
      <c r="B197" s="2"/>
      <c r="C197" s="2"/>
      <c r="D197" s="2"/>
      <c r="E197" s="2"/>
      <c r="F197" s="1"/>
      <c r="G197" s="36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5.75" customHeight="1" x14ac:dyDescent="0.2">
      <c r="A198" s="1"/>
      <c r="B198" s="2"/>
      <c r="C198" s="2"/>
      <c r="D198" s="2"/>
      <c r="E198" s="2"/>
      <c r="F198" s="1"/>
      <c r="G198" s="36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5.75" customHeight="1" x14ac:dyDescent="0.2">
      <c r="A199" s="1"/>
      <c r="B199" s="2"/>
      <c r="C199" s="2"/>
      <c r="D199" s="2"/>
      <c r="E199" s="2"/>
      <c r="F199" s="1"/>
      <c r="G199" s="36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5.75" customHeight="1" x14ac:dyDescent="0.2">
      <c r="A200" s="1"/>
      <c r="B200" s="2"/>
      <c r="C200" s="2"/>
      <c r="D200" s="2"/>
      <c r="E200" s="2"/>
      <c r="F200" s="1"/>
      <c r="G200" s="36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5.75" customHeight="1" x14ac:dyDescent="0.2">
      <c r="A201" s="1"/>
      <c r="B201" s="2"/>
      <c r="C201" s="2"/>
      <c r="D201" s="2"/>
      <c r="E201" s="2"/>
      <c r="F201" s="1"/>
      <c r="G201" s="36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5.75" customHeight="1" x14ac:dyDescent="0.2">
      <c r="A202" s="1"/>
      <c r="B202" s="2"/>
      <c r="C202" s="2"/>
      <c r="D202" s="2"/>
      <c r="E202" s="2"/>
      <c r="F202" s="1"/>
      <c r="G202" s="36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5.75" customHeight="1" x14ac:dyDescent="0.2">
      <c r="A203" s="1"/>
      <c r="B203" s="2"/>
      <c r="C203" s="2"/>
      <c r="D203" s="2"/>
      <c r="E203" s="2"/>
      <c r="F203" s="1"/>
      <c r="G203" s="36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5.75" customHeight="1" x14ac:dyDescent="0.2">
      <c r="A204" s="1"/>
      <c r="B204" s="2"/>
      <c r="C204" s="2"/>
      <c r="D204" s="2"/>
      <c r="E204" s="2"/>
      <c r="F204" s="1"/>
      <c r="G204" s="36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5.75" customHeight="1" x14ac:dyDescent="0.2">
      <c r="A205" s="1"/>
      <c r="B205" s="2"/>
      <c r="C205" s="2"/>
      <c r="D205" s="2"/>
      <c r="E205" s="2"/>
      <c r="F205" s="1"/>
      <c r="G205" s="36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5.75" customHeight="1" x14ac:dyDescent="0.2">
      <c r="A206" s="1"/>
      <c r="B206" s="2"/>
      <c r="C206" s="2"/>
      <c r="D206" s="2"/>
      <c r="E206" s="2"/>
      <c r="F206" s="1"/>
      <c r="G206" s="36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5.75" customHeight="1" x14ac:dyDescent="0.2">
      <c r="A207" s="1"/>
      <c r="B207" s="2"/>
      <c r="C207" s="2"/>
      <c r="D207" s="2"/>
      <c r="E207" s="2"/>
      <c r="F207" s="1"/>
      <c r="G207" s="36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5.75" customHeight="1" x14ac:dyDescent="0.2">
      <c r="A208" s="1"/>
      <c r="B208" s="2"/>
      <c r="C208" s="2"/>
      <c r="D208" s="2"/>
      <c r="E208" s="2"/>
      <c r="F208" s="1"/>
      <c r="G208" s="36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5.75" customHeight="1" x14ac:dyDescent="0.2">
      <c r="A209" s="1"/>
      <c r="B209" s="2"/>
      <c r="C209" s="2"/>
      <c r="D209" s="2"/>
      <c r="E209" s="2"/>
      <c r="F209" s="1"/>
      <c r="G209" s="36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5.75" customHeight="1" x14ac:dyDescent="0.2">
      <c r="A210" s="1"/>
      <c r="B210" s="2"/>
      <c r="C210" s="2"/>
      <c r="D210" s="2"/>
      <c r="E210" s="2"/>
      <c r="F210" s="1"/>
      <c r="G210" s="36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5.75" customHeight="1" x14ac:dyDescent="0.2">
      <c r="A211" s="1"/>
      <c r="B211" s="2"/>
      <c r="C211" s="2"/>
      <c r="D211" s="2"/>
      <c r="E211" s="2"/>
      <c r="F211" s="1"/>
      <c r="G211" s="36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5.75" customHeight="1" x14ac:dyDescent="0.2">
      <c r="A212" s="1"/>
      <c r="B212" s="2"/>
      <c r="C212" s="2"/>
      <c r="D212" s="2"/>
      <c r="E212" s="2"/>
      <c r="F212" s="1"/>
      <c r="G212" s="36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5.75" customHeight="1" x14ac:dyDescent="0.2">
      <c r="A213" s="1"/>
      <c r="B213" s="2"/>
      <c r="C213" s="2"/>
      <c r="D213" s="2"/>
      <c r="E213" s="2"/>
      <c r="F213" s="1"/>
      <c r="G213" s="36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5.75" customHeight="1" x14ac:dyDescent="0.2">
      <c r="A214" s="1"/>
      <c r="B214" s="2"/>
      <c r="C214" s="2"/>
      <c r="D214" s="2"/>
      <c r="E214" s="2"/>
      <c r="F214" s="1"/>
      <c r="G214" s="36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5.75" customHeight="1" x14ac:dyDescent="0.2">
      <c r="A215" s="1"/>
      <c r="B215" s="2"/>
      <c r="C215" s="2"/>
      <c r="D215" s="2"/>
      <c r="E215" s="2"/>
      <c r="F215" s="1"/>
      <c r="G215" s="36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5.75" customHeight="1" x14ac:dyDescent="0.2">
      <c r="A216" s="1"/>
      <c r="B216" s="2"/>
      <c r="C216" s="2"/>
      <c r="D216" s="2"/>
      <c r="E216" s="2"/>
      <c r="F216" s="1"/>
      <c r="G216" s="36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5.75" customHeight="1" x14ac:dyDescent="0.2">
      <c r="A217" s="1"/>
      <c r="B217" s="2"/>
      <c r="C217" s="2"/>
      <c r="D217" s="2"/>
      <c r="E217" s="2"/>
      <c r="F217" s="1"/>
      <c r="G217" s="36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5.75" customHeight="1" x14ac:dyDescent="0.2">
      <c r="A218" s="1"/>
      <c r="B218" s="2"/>
      <c r="C218" s="2"/>
      <c r="D218" s="2"/>
      <c r="E218" s="2"/>
      <c r="F218" s="1"/>
      <c r="G218" s="36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5.75" customHeight="1" x14ac:dyDescent="0.2">
      <c r="A219" s="1"/>
      <c r="B219" s="2"/>
      <c r="C219" s="2"/>
      <c r="D219" s="2"/>
      <c r="E219" s="2"/>
      <c r="F219" s="1"/>
      <c r="G219" s="36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5.75" customHeight="1" x14ac:dyDescent="0.2">
      <c r="A220" s="1"/>
      <c r="B220" s="2"/>
      <c r="C220" s="2"/>
      <c r="D220" s="2"/>
      <c r="E220" s="2"/>
      <c r="F220" s="1"/>
      <c r="G220" s="36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5.75" customHeight="1" x14ac:dyDescent="0.2">
      <c r="A221" s="1"/>
      <c r="B221" s="2"/>
      <c r="C221" s="2"/>
      <c r="D221" s="2"/>
      <c r="E221" s="2"/>
      <c r="F221" s="1"/>
      <c r="G221" s="36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5.75" customHeight="1" x14ac:dyDescent="0.2">
      <c r="A222" s="1"/>
      <c r="B222" s="2"/>
      <c r="C222" s="2"/>
      <c r="D222" s="2"/>
      <c r="E222" s="2"/>
      <c r="F222" s="1"/>
      <c r="G222" s="36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5.75" customHeight="1" x14ac:dyDescent="0.2">
      <c r="A223" s="1"/>
      <c r="B223" s="2"/>
      <c r="C223" s="2"/>
      <c r="D223" s="2"/>
      <c r="E223" s="2"/>
      <c r="F223" s="1"/>
      <c r="G223" s="36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5.75" customHeight="1" x14ac:dyDescent="0.2">
      <c r="A224" s="1"/>
      <c r="B224" s="2"/>
      <c r="C224" s="2"/>
      <c r="D224" s="2"/>
      <c r="E224" s="2"/>
      <c r="F224" s="1"/>
      <c r="G224" s="36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5.75" customHeight="1" x14ac:dyDescent="0.2">
      <c r="A225" s="1"/>
      <c r="B225" s="2"/>
      <c r="C225" s="2"/>
      <c r="D225" s="2"/>
      <c r="E225" s="2"/>
      <c r="F225" s="1"/>
      <c r="G225" s="36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5.75" customHeight="1" x14ac:dyDescent="0.2">
      <c r="A226" s="1"/>
      <c r="B226" s="2"/>
      <c r="C226" s="2"/>
      <c r="D226" s="2"/>
      <c r="E226" s="2"/>
      <c r="F226" s="1"/>
      <c r="G226" s="36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5.75" customHeight="1" x14ac:dyDescent="0.2">
      <c r="A227" s="1"/>
      <c r="B227" s="2"/>
      <c r="C227" s="2"/>
      <c r="D227" s="2"/>
      <c r="E227" s="2"/>
      <c r="F227" s="1"/>
      <c r="G227" s="36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5.75" customHeight="1" x14ac:dyDescent="0.2">
      <c r="A228" s="1"/>
      <c r="B228" s="2"/>
      <c r="C228" s="2"/>
      <c r="D228" s="2"/>
      <c r="E228" s="2"/>
      <c r="F228" s="1"/>
      <c r="G228" s="36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5.75" customHeight="1" x14ac:dyDescent="0.2">
      <c r="A229" s="1"/>
      <c r="B229" s="2"/>
      <c r="C229" s="2"/>
      <c r="D229" s="2"/>
      <c r="E229" s="2"/>
      <c r="F229" s="1"/>
      <c r="G229" s="36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5.75" customHeight="1" x14ac:dyDescent="0.2">
      <c r="A230" s="1"/>
      <c r="B230" s="2"/>
      <c r="C230" s="2"/>
      <c r="D230" s="2"/>
      <c r="E230" s="2"/>
      <c r="F230" s="1"/>
      <c r="G230" s="36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5.75" customHeight="1" x14ac:dyDescent="0.2">
      <c r="A231" s="1"/>
      <c r="B231" s="2"/>
      <c r="C231" s="2"/>
      <c r="D231" s="2"/>
      <c r="E231" s="2"/>
      <c r="F231" s="1"/>
      <c r="G231" s="36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5.75" customHeight="1" x14ac:dyDescent="0.2">
      <c r="A232" s="1"/>
      <c r="B232" s="2"/>
      <c r="C232" s="2"/>
      <c r="D232" s="2"/>
      <c r="E232" s="2"/>
      <c r="F232" s="1"/>
      <c r="G232" s="36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5.75" customHeight="1" x14ac:dyDescent="0.2">
      <c r="A233" s="1"/>
      <c r="B233" s="2"/>
      <c r="C233" s="2"/>
      <c r="D233" s="2"/>
      <c r="E233" s="2"/>
      <c r="F233" s="1"/>
      <c r="G233" s="36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5.75" customHeight="1" x14ac:dyDescent="0.2">
      <c r="A234" s="1"/>
      <c r="B234" s="2"/>
      <c r="C234" s="2"/>
      <c r="D234" s="2"/>
      <c r="E234" s="2"/>
      <c r="F234" s="1"/>
      <c r="G234" s="36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5.75" customHeight="1" x14ac:dyDescent="0.2">
      <c r="A235" s="1"/>
      <c r="B235" s="2"/>
      <c r="C235" s="2"/>
      <c r="D235" s="2"/>
      <c r="E235" s="2"/>
      <c r="F235" s="1"/>
      <c r="G235" s="36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5.75" customHeight="1" x14ac:dyDescent="0.2">
      <c r="A236" s="1"/>
      <c r="B236" s="2"/>
      <c r="C236" s="2"/>
      <c r="D236" s="2"/>
      <c r="E236" s="2"/>
      <c r="F236" s="1"/>
      <c r="G236" s="36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5.75" customHeight="1" x14ac:dyDescent="0.2">
      <c r="A237" s="1"/>
      <c r="B237" s="2"/>
      <c r="C237" s="2"/>
      <c r="D237" s="2"/>
      <c r="E237" s="2"/>
      <c r="F237" s="1"/>
      <c r="G237" s="36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5.75" customHeight="1" x14ac:dyDescent="0.2">
      <c r="A238" s="1"/>
      <c r="B238" s="2"/>
      <c r="C238" s="2"/>
      <c r="D238" s="2"/>
      <c r="E238" s="2"/>
      <c r="F238" s="1"/>
      <c r="G238" s="36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5.75" customHeight="1" x14ac:dyDescent="0.2">
      <c r="A239" s="1"/>
      <c r="B239" s="2"/>
      <c r="C239" s="2"/>
      <c r="D239" s="2"/>
      <c r="E239" s="2"/>
      <c r="F239" s="1"/>
      <c r="G239" s="36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5.75" customHeight="1" x14ac:dyDescent="0.2">
      <c r="A240" s="1"/>
      <c r="B240" s="2"/>
      <c r="C240" s="2"/>
      <c r="D240" s="2"/>
      <c r="E240" s="2"/>
      <c r="F240" s="1"/>
      <c r="G240" s="36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5.75" customHeight="1" x14ac:dyDescent="0.2">
      <c r="A241" s="1"/>
      <c r="B241" s="2"/>
      <c r="C241" s="2"/>
      <c r="D241" s="2"/>
      <c r="E241" s="2"/>
      <c r="F241" s="1"/>
      <c r="G241" s="36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5.75" customHeight="1" x14ac:dyDescent="0.2">
      <c r="A242" s="1"/>
      <c r="B242" s="2"/>
      <c r="C242" s="2"/>
      <c r="D242" s="2"/>
      <c r="E242" s="2"/>
      <c r="F242" s="1"/>
      <c r="G242" s="36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5.75" customHeight="1" x14ac:dyDescent="0.2">
      <c r="A243" s="1"/>
      <c r="B243" s="2"/>
      <c r="C243" s="2"/>
      <c r="D243" s="2"/>
      <c r="E243" s="2"/>
      <c r="F243" s="1"/>
      <c r="G243" s="36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5.75" customHeight="1" x14ac:dyDescent="0.2">
      <c r="A244" s="1"/>
      <c r="B244" s="2"/>
      <c r="C244" s="2"/>
      <c r="D244" s="2"/>
      <c r="E244" s="2"/>
      <c r="F244" s="1"/>
      <c r="G244" s="36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5.75" customHeight="1" x14ac:dyDescent="0.2">
      <c r="A245" s="1"/>
      <c r="B245" s="2"/>
      <c r="C245" s="2"/>
      <c r="D245" s="2"/>
      <c r="E245" s="2"/>
      <c r="F245" s="1"/>
      <c r="G245" s="36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5.75" customHeight="1" x14ac:dyDescent="0.2">
      <c r="A246" s="1"/>
      <c r="B246" s="2"/>
      <c r="C246" s="2"/>
      <c r="D246" s="2"/>
      <c r="E246" s="2"/>
      <c r="F246" s="1"/>
      <c r="G246" s="36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5.75" customHeight="1" x14ac:dyDescent="0.2">
      <c r="A247" s="1"/>
      <c r="B247" s="2"/>
      <c r="C247" s="2"/>
      <c r="D247" s="2"/>
      <c r="E247" s="2"/>
      <c r="F247" s="1"/>
      <c r="G247" s="36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5.75" customHeight="1" x14ac:dyDescent="0.2">
      <c r="A248" s="1"/>
      <c r="B248" s="2"/>
      <c r="C248" s="2"/>
      <c r="D248" s="2"/>
      <c r="E248" s="2"/>
      <c r="F248" s="1"/>
      <c r="G248" s="36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40.44999999999999" customHeight="1" x14ac:dyDescent="0.2">
      <c r="B249" s="2"/>
      <c r="C249" s="2"/>
      <c r="D249" s="2"/>
      <c r="E249" s="2"/>
      <c r="F249" s="1"/>
      <c r="G249" s="36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5" customHeight="1" x14ac:dyDescent="0.2">
      <c r="A250" s="1"/>
      <c r="B250" s="2"/>
      <c r="C250" s="2"/>
      <c r="D250" s="2"/>
      <c r="E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5.75" customHeight="1" x14ac:dyDescent="0.2">
      <c r="A251" s="1"/>
      <c r="B251" s="2"/>
      <c r="C251" s="2"/>
      <c r="D251" s="2"/>
      <c r="E251" s="2"/>
      <c r="F251" s="1"/>
      <c r="G251" s="36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5.75" customHeight="1" x14ac:dyDescent="0.2">
      <c r="A252" s="1"/>
      <c r="B252" s="2"/>
      <c r="C252" s="2"/>
      <c r="D252" s="2"/>
      <c r="E252" s="2"/>
      <c r="F252" s="1"/>
      <c r="G252" s="36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5.75" customHeight="1" x14ac:dyDescent="0.2">
      <c r="A253" s="1"/>
      <c r="B253" s="1"/>
      <c r="C253" s="1"/>
      <c r="D253" s="1"/>
      <c r="E253" s="1"/>
      <c r="F253" s="1"/>
      <c r="G253" s="3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5.75" customHeight="1" x14ac:dyDescent="0.2">
      <c r="A254" s="1"/>
      <c r="B254" s="1"/>
      <c r="C254" s="1"/>
      <c r="D254" s="1"/>
      <c r="E254" s="1"/>
      <c r="F254" s="1"/>
      <c r="G254" s="3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5.75" customHeight="1" x14ac:dyDescent="0.2">
      <c r="A255" s="1"/>
      <c r="B255" s="1"/>
      <c r="C255" s="1"/>
      <c r="D255" s="1"/>
      <c r="E255" s="1"/>
      <c r="F255" s="1"/>
      <c r="G255" s="3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5.75" customHeight="1" x14ac:dyDescent="0.2">
      <c r="A256" s="1"/>
      <c r="B256" s="1"/>
      <c r="C256" s="1"/>
      <c r="D256" s="1"/>
      <c r="E256" s="1"/>
      <c r="F256" s="1"/>
      <c r="G256" s="3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5.75" customHeight="1" x14ac:dyDescent="0.2">
      <c r="A257" s="1"/>
      <c r="B257" s="1"/>
      <c r="C257" s="1"/>
      <c r="D257" s="1"/>
      <c r="E257" s="1"/>
      <c r="F257" s="1"/>
      <c r="G257" s="3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5.75" customHeight="1" x14ac:dyDescent="0.2">
      <c r="A258" s="1"/>
      <c r="B258" s="1"/>
      <c r="C258" s="1"/>
      <c r="D258" s="1"/>
      <c r="E258" s="1"/>
      <c r="F258" s="1"/>
      <c r="G258" s="3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5.75" customHeight="1" x14ac:dyDescent="0.2">
      <c r="A259" s="1"/>
      <c r="B259" s="1"/>
      <c r="C259" s="1"/>
      <c r="D259" s="1"/>
      <c r="E259" s="1"/>
      <c r="F259" s="1"/>
      <c r="G259" s="3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5.75" customHeight="1" x14ac:dyDescent="0.2">
      <c r="A260" s="1"/>
      <c r="B260" s="1"/>
      <c r="C260" s="1"/>
      <c r="D260" s="1"/>
      <c r="E260" s="1"/>
      <c r="F260" s="1"/>
      <c r="G260" s="3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5.75" customHeight="1" x14ac:dyDescent="0.2">
      <c r="A261" s="1"/>
      <c r="B261" s="1"/>
      <c r="C261" s="1"/>
      <c r="D261" s="1"/>
      <c r="E261" s="1"/>
      <c r="F261" s="1"/>
      <c r="G261" s="3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5.75" customHeight="1" x14ac:dyDescent="0.2">
      <c r="A262" s="1"/>
      <c r="B262" s="1"/>
      <c r="C262" s="1"/>
      <c r="D262" s="1"/>
      <c r="E262" s="1"/>
      <c r="F262" s="1"/>
      <c r="G262" s="3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5.75" customHeight="1" x14ac:dyDescent="0.2">
      <c r="A263" s="1"/>
      <c r="B263" s="1"/>
      <c r="C263" s="1"/>
      <c r="D263" s="1"/>
      <c r="E263" s="1"/>
      <c r="F263" s="1"/>
      <c r="G263" s="3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5.75" customHeight="1" x14ac:dyDescent="0.2">
      <c r="A264" s="1"/>
      <c r="B264" s="1"/>
      <c r="C264" s="1"/>
      <c r="D264" s="1"/>
      <c r="E264" s="1"/>
      <c r="F264" s="1"/>
      <c r="G264" s="3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5.75" customHeight="1" x14ac:dyDescent="0.2">
      <c r="A265" s="1"/>
      <c r="B265" s="1"/>
      <c r="C265" s="1"/>
      <c r="D265" s="1"/>
      <c r="E265" s="1"/>
      <c r="F265" s="1"/>
      <c r="G265" s="3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5.75" customHeight="1" x14ac:dyDescent="0.2">
      <c r="A266" s="1"/>
      <c r="B266" s="1"/>
      <c r="C266" s="1"/>
      <c r="D266" s="1"/>
      <c r="E266" s="1"/>
      <c r="F266" s="1"/>
      <c r="G266" s="3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5.75" customHeight="1" x14ac:dyDescent="0.2">
      <c r="A267" s="1"/>
      <c r="B267" s="1"/>
      <c r="C267" s="1"/>
      <c r="D267" s="1"/>
      <c r="E267" s="1"/>
      <c r="F267" s="1"/>
      <c r="G267" s="3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5.75" customHeight="1" x14ac:dyDescent="0.2">
      <c r="A268" s="1"/>
      <c r="B268" s="1"/>
      <c r="C268" s="1"/>
      <c r="D268" s="1"/>
      <c r="E268" s="1"/>
      <c r="F268" s="1"/>
      <c r="G268" s="3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5.75" customHeight="1" x14ac:dyDescent="0.2">
      <c r="A269" s="1"/>
      <c r="B269" s="1"/>
      <c r="C269" s="1"/>
      <c r="D269" s="1"/>
      <c r="E269" s="1"/>
      <c r="F269" s="1"/>
      <c r="G269" s="3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5.75" customHeight="1" x14ac:dyDescent="0.2">
      <c r="A270" s="1"/>
      <c r="B270" s="1"/>
      <c r="C270" s="1"/>
      <c r="D270" s="1"/>
      <c r="E270" s="1"/>
      <c r="F270" s="1"/>
      <c r="G270" s="3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5.75" customHeight="1" x14ac:dyDescent="0.2">
      <c r="A271" s="1"/>
      <c r="B271" s="1"/>
      <c r="C271" s="1"/>
      <c r="D271" s="1"/>
      <c r="E271" s="1"/>
      <c r="F271" s="1"/>
      <c r="G271" s="3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5.75" customHeight="1" x14ac:dyDescent="0.2">
      <c r="A272" s="1"/>
      <c r="B272" s="1"/>
      <c r="C272" s="1"/>
      <c r="D272" s="1"/>
      <c r="E272" s="1"/>
      <c r="F272" s="1"/>
      <c r="G272" s="3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5.75" customHeight="1" x14ac:dyDescent="0.2">
      <c r="A273" s="1"/>
      <c r="B273" s="1"/>
      <c r="C273" s="1"/>
      <c r="D273" s="1"/>
      <c r="E273" s="1"/>
      <c r="F273" s="1"/>
      <c r="G273" s="3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5.75" customHeight="1" x14ac:dyDescent="0.2">
      <c r="A274" s="1"/>
      <c r="B274" s="1"/>
      <c r="C274" s="1"/>
      <c r="D274" s="1"/>
      <c r="E274" s="1"/>
      <c r="F274" s="1"/>
      <c r="G274" s="3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5.75" customHeight="1" x14ac:dyDescent="0.2">
      <c r="A275" s="1"/>
      <c r="B275" s="1"/>
      <c r="C275" s="1"/>
      <c r="D275" s="1"/>
      <c r="E275" s="1"/>
      <c r="F275" s="1"/>
      <c r="G275" s="3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5.75" customHeight="1" x14ac:dyDescent="0.2">
      <c r="A276" s="1"/>
      <c r="B276" s="1"/>
      <c r="C276" s="1"/>
      <c r="D276" s="1"/>
      <c r="E276" s="1"/>
      <c r="F276" s="1"/>
      <c r="G276" s="3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5.75" customHeight="1" x14ac:dyDescent="0.2">
      <c r="A277" s="1"/>
      <c r="B277" s="1"/>
      <c r="C277" s="1"/>
      <c r="D277" s="1"/>
      <c r="E277" s="1"/>
      <c r="F277" s="1"/>
      <c r="G277" s="3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5.75" customHeight="1" x14ac:dyDescent="0.2">
      <c r="A278" s="1"/>
      <c r="B278" s="1"/>
      <c r="C278" s="1"/>
      <c r="D278" s="1"/>
      <c r="E278" s="1"/>
      <c r="F278" s="1"/>
      <c r="G278" s="3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5.75" customHeight="1" x14ac:dyDescent="0.2">
      <c r="A279" s="1"/>
      <c r="B279" s="1"/>
      <c r="C279" s="1"/>
      <c r="D279" s="1"/>
      <c r="E279" s="1"/>
      <c r="F279" s="1"/>
      <c r="G279" s="3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5.75" customHeight="1" x14ac:dyDescent="0.2">
      <c r="A280" s="1"/>
      <c r="B280" s="1"/>
      <c r="C280" s="1"/>
      <c r="D280" s="1"/>
      <c r="E280" s="1"/>
      <c r="F280" s="1"/>
      <c r="G280" s="3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5.75" customHeight="1" x14ac:dyDescent="0.2">
      <c r="A281" s="1"/>
      <c r="B281" s="1"/>
      <c r="C281" s="1"/>
      <c r="D281" s="1"/>
      <c r="E281" s="1"/>
      <c r="F281" s="1"/>
      <c r="G281" s="3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5.75" customHeight="1" x14ac:dyDescent="0.2">
      <c r="A282" s="1"/>
      <c r="B282" s="1"/>
      <c r="C282" s="1"/>
      <c r="D282" s="1"/>
      <c r="E282" s="1"/>
      <c r="F282" s="1"/>
      <c r="G282" s="3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5.75" customHeight="1" x14ac:dyDescent="0.2">
      <c r="A283" s="1"/>
      <c r="B283" s="1"/>
      <c r="C283" s="1"/>
      <c r="D283" s="1"/>
      <c r="E283" s="1"/>
      <c r="F283" s="1"/>
      <c r="G283" s="3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5.75" customHeight="1" x14ac:dyDescent="0.2">
      <c r="A284" s="1"/>
      <c r="B284" s="1"/>
      <c r="C284" s="1"/>
      <c r="D284" s="1"/>
      <c r="E284" s="1"/>
      <c r="F284" s="1"/>
      <c r="G284" s="3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5.75" customHeight="1" x14ac:dyDescent="0.2">
      <c r="A285" s="1"/>
      <c r="B285" s="1"/>
      <c r="C285" s="1"/>
      <c r="D285" s="1"/>
      <c r="E285" s="1"/>
      <c r="F285" s="1"/>
      <c r="G285" s="3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5.75" customHeight="1" x14ac:dyDescent="0.2">
      <c r="A286" s="1"/>
      <c r="B286" s="1"/>
      <c r="C286" s="1"/>
      <c r="D286" s="1"/>
      <c r="E286" s="1"/>
      <c r="F286" s="1"/>
      <c r="G286" s="3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5.75" customHeight="1" x14ac:dyDescent="0.2">
      <c r="A287" s="1"/>
      <c r="B287" s="1"/>
      <c r="C287" s="1"/>
      <c r="D287" s="1"/>
      <c r="E287" s="1"/>
      <c r="F287" s="1"/>
      <c r="G287" s="3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5.75" customHeight="1" x14ac:dyDescent="0.2">
      <c r="A288" s="1"/>
      <c r="B288" s="1"/>
      <c r="C288" s="1"/>
      <c r="D288" s="1"/>
      <c r="E288" s="1"/>
      <c r="F288" s="1"/>
      <c r="G288" s="3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5.75" customHeight="1" x14ac:dyDescent="0.2">
      <c r="A289" s="1"/>
      <c r="B289" s="1"/>
      <c r="C289" s="1"/>
      <c r="D289" s="1"/>
      <c r="E289" s="1"/>
      <c r="F289" s="1"/>
      <c r="G289" s="3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5.75" customHeight="1" x14ac:dyDescent="0.2">
      <c r="A290" s="1"/>
      <c r="B290" s="1"/>
      <c r="C290" s="1"/>
      <c r="D290" s="1"/>
      <c r="E290" s="1"/>
      <c r="F290" s="1"/>
      <c r="G290" s="3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5.75" customHeight="1" x14ac:dyDescent="0.2">
      <c r="A291" s="1"/>
      <c r="B291" s="1"/>
      <c r="C291" s="1"/>
      <c r="D291" s="1"/>
      <c r="E291" s="1"/>
      <c r="F291" s="1"/>
      <c r="G291" s="3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5.75" customHeight="1" x14ac:dyDescent="0.2">
      <c r="A292" s="1"/>
      <c r="B292" s="1"/>
      <c r="C292" s="1"/>
      <c r="D292" s="1"/>
      <c r="E292" s="1"/>
      <c r="F292" s="1"/>
      <c r="G292" s="3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5.75" customHeight="1" x14ac:dyDescent="0.2">
      <c r="A293" s="1"/>
      <c r="B293" s="1"/>
      <c r="C293" s="1"/>
      <c r="D293" s="1"/>
      <c r="E293" s="1"/>
      <c r="F293" s="1"/>
      <c r="G293" s="3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5.75" customHeight="1" x14ac:dyDescent="0.2">
      <c r="A294" s="1"/>
      <c r="B294" s="1"/>
      <c r="C294" s="1"/>
      <c r="D294" s="1"/>
      <c r="E294" s="1"/>
      <c r="F294" s="1"/>
      <c r="G294" s="3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5.75" customHeight="1" x14ac:dyDescent="0.2">
      <c r="A295" s="1"/>
      <c r="B295" s="1"/>
      <c r="C295" s="1"/>
      <c r="D295" s="1"/>
      <c r="E295" s="1"/>
      <c r="F295" s="1"/>
      <c r="G295" s="3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5.75" customHeight="1" x14ac:dyDescent="0.2">
      <c r="A296" s="1"/>
      <c r="B296" s="1"/>
      <c r="C296" s="1"/>
      <c r="D296" s="1"/>
      <c r="E296" s="1"/>
      <c r="F296" s="1"/>
      <c r="G296" s="3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5.75" customHeight="1" x14ac:dyDescent="0.2">
      <c r="A297" s="1"/>
      <c r="B297" s="1"/>
      <c r="C297" s="1"/>
      <c r="D297" s="1"/>
      <c r="E297" s="1"/>
      <c r="F297" s="1"/>
      <c r="G297" s="3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5.75" customHeight="1" x14ac:dyDescent="0.2">
      <c r="A298" s="1"/>
      <c r="B298" s="1"/>
      <c r="C298" s="1"/>
      <c r="D298" s="1"/>
      <c r="E298" s="1"/>
      <c r="F298" s="1"/>
      <c r="G298" s="3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5.75" customHeight="1" x14ac:dyDescent="0.2">
      <c r="A299" s="1"/>
      <c r="B299" s="1"/>
      <c r="C299" s="1"/>
      <c r="D299" s="1"/>
      <c r="E299" s="1"/>
      <c r="F299" s="1"/>
      <c r="G299" s="3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5.75" customHeight="1" x14ac:dyDescent="0.2">
      <c r="A300" s="1"/>
      <c r="B300" s="1"/>
      <c r="C300" s="1"/>
      <c r="D300" s="1"/>
      <c r="E300" s="1"/>
      <c r="F300" s="1"/>
      <c r="G300" s="3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5.75" customHeight="1" x14ac:dyDescent="0.2">
      <c r="A301" s="1"/>
      <c r="B301" s="1"/>
      <c r="C301" s="1"/>
      <c r="D301" s="1"/>
      <c r="E301" s="1"/>
      <c r="F301" s="1"/>
      <c r="G301" s="3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5.75" customHeight="1" x14ac:dyDescent="0.2">
      <c r="A302" s="1"/>
      <c r="B302" s="1"/>
      <c r="C302" s="1"/>
      <c r="D302" s="1"/>
      <c r="E302" s="1"/>
      <c r="F302" s="1"/>
      <c r="G302" s="3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5.75" customHeight="1" x14ac:dyDescent="0.2">
      <c r="A303" s="1"/>
      <c r="B303" s="1"/>
      <c r="C303" s="1"/>
      <c r="D303" s="1"/>
      <c r="E303" s="1"/>
      <c r="F303" s="1"/>
      <c r="G303" s="3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5.75" customHeight="1" x14ac:dyDescent="0.2">
      <c r="A304" s="1"/>
      <c r="B304" s="1"/>
      <c r="C304" s="1"/>
      <c r="D304" s="1"/>
      <c r="E304" s="1"/>
      <c r="F304" s="1"/>
      <c r="G304" s="3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5.75" customHeight="1" x14ac:dyDescent="0.2">
      <c r="A305" s="1"/>
      <c r="B305" s="1"/>
      <c r="C305" s="1"/>
      <c r="D305" s="1"/>
      <c r="E305" s="1"/>
      <c r="F305" s="1"/>
      <c r="G305" s="3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5.75" customHeight="1" x14ac:dyDescent="0.2">
      <c r="A306" s="1"/>
      <c r="B306" s="1"/>
      <c r="C306" s="1"/>
      <c r="D306" s="1"/>
      <c r="E306" s="1"/>
      <c r="F306" s="1"/>
      <c r="G306" s="3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5.75" customHeight="1" x14ac:dyDescent="0.2">
      <c r="A307" s="1"/>
      <c r="B307" s="1"/>
      <c r="C307" s="1"/>
      <c r="D307" s="1"/>
      <c r="E307" s="1"/>
      <c r="F307" s="1"/>
      <c r="G307" s="3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5.75" customHeight="1" x14ac:dyDescent="0.2">
      <c r="A308" s="1"/>
      <c r="B308" s="1"/>
      <c r="C308" s="1"/>
      <c r="D308" s="1"/>
      <c r="E308" s="1"/>
      <c r="F308" s="1"/>
      <c r="G308" s="3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5.75" customHeight="1" x14ac:dyDescent="0.2">
      <c r="A309" s="1"/>
      <c r="B309" s="1"/>
      <c r="C309" s="1"/>
      <c r="D309" s="1"/>
      <c r="E309" s="1"/>
      <c r="F309" s="1"/>
      <c r="G309" s="3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5.75" customHeight="1" x14ac:dyDescent="0.2">
      <c r="A310" s="1"/>
      <c r="B310" s="1"/>
      <c r="C310" s="1"/>
      <c r="D310" s="1"/>
      <c r="E310" s="1"/>
      <c r="F310" s="1"/>
      <c r="G310" s="3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5.75" customHeight="1" x14ac:dyDescent="0.2">
      <c r="A311" s="1"/>
      <c r="B311" s="1"/>
      <c r="C311" s="1"/>
      <c r="D311" s="1"/>
      <c r="E311" s="1"/>
      <c r="F311" s="1"/>
      <c r="G311" s="3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5.75" customHeight="1" x14ac:dyDescent="0.2">
      <c r="A312" s="1"/>
      <c r="B312" s="1"/>
      <c r="C312" s="1"/>
      <c r="D312" s="1"/>
      <c r="E312" s="1"/>
      <c r="F312" s="1"/>
      <c r="G312" s="3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5.75" customHeight="1" x14ac:dyDescent="0.2">
      <c r="A313" s="1"/>
      <c r="B313" s="1"/>
      <c r="C313" s="1"/>
      <c r="D313" s="1"/>
      <c r="E313" s="1"/>
      <c r="F313" s="1"/>
      <c r="G313" s="3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5.75" customHeight="1" x14ac:dyDescent="0.2">
      <c r="A314" s="1"/>
      <c r="B314" s="1"/>
      <c r="C314" s="1"/>
      <c r="D314" s="1"/>
      <c r="E314" s="1"/>
      <c r="F314" s="1"/>
      <c r="G314" s="3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5.75" customHeight="1" x14ac:dyDescent="0.2">
      <c r="A315" s="1"/>
      <c r="B315" s="1"/>
      <c r="C315" s="1"/>
      <c r="D315" s="1"/>
      <c r="E315" s="1"/>
      <c r="F315" s="1"/>
      <c r="G315" s="3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5.75" customHeight="1" x14ac:dyDescent="0.2">
      <c r="A316" s="1"/>
      <c r="B316" s="1"/>
      <c r="C316" s="1"/>
      <c r="D316" s="1"/>
      <c r="E316" s="1"/>
      <c r="F316" s="1"/>
      <c r="G316" s="3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5.75" customHeight="1" x14ac:dyDescent="0.2">
      <c r="A317" s="1"/>
      <c r="B317" s="1"/>
      <c r="C317" s="1"/>
      <c r="D317" s="1"/>
      <c r="E317" s="1"/>
      <c r="F317" s="1"/>
      <c r="G317" s="3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5.75" customHeight="1" x14ac:dyDescent="0.2">
      <c r="A318" s="1"/>
      <c r="B318" s="1"/>
      <c r="C318" s="1"/>
      <c r="D318" s="1"/>
      <c r="E318" s="1"/>
      <c r="F318" s="1"/>
      <c r="G318" s="3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5.75" customHeight="1" x14ac:dyDescent="0.2">
      <c r="A319" s="1"/>
      <c r="B319" s="1"/>
      <c r="C319" s="1"/>
      <c r="D319" s="1"/>
      <c r="E319" s="1"/>
      <c r="F319" s="1"/>
      <c r="G319" s="3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5.75" customHeight="1" x14ac:dyDescent="0.2">
      <c r="A320" s="1"/>
      <c r="B320" s="1"/>
      <c r="C320" s="1"/>
      <c r="D320" s="1"/>
      <c r="E320" s="1"/>
      <c r="F320" s="1"/>
      <c r="G320" s="3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5.75" customHeight="1" x14ac:dyDescent="0.2">
      <c r="A321" s="1"/>
      <c r="B321" s="1"/>
      <c r="C321" s="1"/>
      <c r="D321" s="1"/>
      <c r="E321" s="1"/>
      <c r="F321" s="1"/>
      <c r="G321" s="3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5.75" customHeight="1" x14ac:dyDescent="0.2">
      <c r="A322" s="1"/>
      <c r="B322" s="1"/>
      <c r="C322" s="1"/>
      <c r="D322" s="1"/>
      <c r="E322" s="1"/>
      <c r="F322" s="1"/>
      <c r="G322" s="3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5.75" customHeight="1" x14ac:dyDescent="0.2">
      <c r="A323" s="1"/>
      <c r="B323" s="1"/>
      <c r="C323" s="1"/>
      <c r="D323" s="1"/>
      <c r="E323" s="1"/>
      <c r="F323" s="1"/>
      <c r="G323" s="3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5.75" customHeight="1" x14ac:dyDescent="0.2">
      <c r="A324" s="1"/>
      <c r="B324" s="1"/>
      <c r="C324" s="1"/>
      <c r="D324" s="1"/>
      <c r="E324" s="1"/>
      <c r="F324" s="1"/>
      <c r="G324" s="3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5.75" customHeight="1" x14ac:dyDescent="0.2">
      <c r="A325" s="1"/>
      <c r="B325" s="1"/>
      <c r="C325" s="1"/>
      <c r="D325" s="1"/>
      <c r="E325" s="1"/>
      <c r="F325" s="1"/>
      <c r="G325" s="3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5.75" customHeight="1" x14ac:dyDescent="0.2">
      <c r="A326" s="1"/>
      <c r="B326" s="1"/>
      <c r="C326" s="1"/>
      <c r="D326" s="1"/>
      <c r="E326" s="1"/>
      <c r="F326" s="1"/>
      <c r="G326" s="3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5.75" customHeight="1" x14ac:dyDescent="0.2">
      <c r="A327" s="1"/>
      <c r="B327" s="1"/>
      <c r="C327" s="1"/>
      <c r="D327" s="1"/>
      <c r="E327" s="1"/>
      <c r="F327" s="1"/>
      <c r="G327" s="3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5.75" customHeight="1" x14ac:dyDescent="0.2">
      <c r="A328" s="1"/>
      <c r="B328" s="1"/>
      <c r="C328" s="1"/>
      <c r="D328" s="1"/>
      <c r="E328" s="1"/>
      <c r="F328" s="1"/>
      <c r="G328" s="3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5.75" customHeight="1" x14ac:dyDescent="0.2">
      <c r="A329" s="1"/>
      <c r="B329" s="1"/>
      <c r="C329" s="1"/>
      <c r="D329" s="1"/>
      <c r="E329" s="1"/>
      <c r="F329" s="1"/>
      <c r="G329" s="3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5.75" customHeight="1" x14ac:dyDescent="0.2">
      <c r="A330" s="1"/>
      <c r="B330" s="1"/>
      <c r="C330" s="1"/>
      <c r="D330" s="1"/>
      <c r="E330" s="1"/>
      <c r="F330" s="1"/>
      <c r="G330" s="3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5.75" customHeight="1" x14ac:dyDescent="0.2">
      <c r="A331" s="1"/>
      <c r="B331" s="1"/>
      <c r="C331" s="1"/>
      <c r="D331" s="1"/>
      <c r="E331" s="1"/>
      <c r="F331" s="1"/>
      <c r="G331" s="3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5.75" customHeight="1" x14ac:dyDescent="0.2">
      <c r="A332" s="1"/>
      <c r="B332" s="1"/>
      <c r="C332" s="1"/>
      <c r="D332" s="1"/>
      <c r="E332" s="1"/>
      <c r="F332" s="1"/>
      <c r="G332" s="3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5.75" customHeight="1" x14ac:dyDescent="0.2">
      <c r="A333" s="1"/>
      <c r="B333" s="1"/>
      <c r="C333" s="1"/>
      <c r="D333" s="1"/>
      <c r="E333" s="1"/>
      <c r="F333" s="1"/>
      <c r="G333" s="3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5.75" customHeight="1" x14ac:dyDescent="0.2">
      <c r="A334" s="1"/>
      <c r="B334" s="1"/>
      <c r="C334" s="1"/>
      <c r="D334" s="1"/>
      <c r="E334" s="1"/>
      <c r="F334" s="1"/>
      <c r="G334" s="3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5.75" customHeight="1" x14ac:dyDescent="0.2">
      <c r="A335" s="1"/>
      <c r="B335" s="1"/>
      <c r="C335" s="1"/>
      <c r="D335" s="1"/>
      <c r="E335" s="1"/>
      <c r="F335" s="1"/>
      <c r="G335" s="3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5.75" customHeight="1" x14ac:dyDescent="0.2">
      <c r="A336" s="1"/>
      <c r="B336" s="1"/>
      <c r="C336" s="1"/>
      <c r="D336" s="1"/>
      <c r="E336" s="1"/>
      <c r="F336" s="1"/>
      <c r="G336" s="3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5.75" customHeight="1" x14ac:dyDescent="0.2">
      <c r="A337" s="1"/>
      <c r="B337" s="1"/>
      <c r="C337" s="1"/>
      <c r="D337" s="1"/>
      <c r="E337" s="1"/>
      <c r="F337" s="1"/>
      <c r="G337" s="3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5.75" customHeight="1" x14ac:dyDescent="0.2">
      <c r="A338" s="1"/>
      <c r="B338" s="1"/>
      <c r="C338" s="1"/>
      <c r="D338" s="1"/>
      <c r="E338" s="1"/>
      <c r="F338" s="1"/>
      <c r="G338" s="3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5.75" customHeight="1" x14ac:dyDescent="0.2">
      <c r="A339" s="1"/>
      <c r="B339" s="1"/>
      <c r="C339" s="1"/>
      <c r="D339" s="1"/>
      <c r="E339" s="1"/>
      <c r="F339" s="1"/>
      <c r="G339" s="3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5.75" customHeight="1" x14ac:dyDescent="0.2">
      <c r="A340" s="1"/>
      <c r="B340" s="1"/>
      <c r="C340" s="1"/>
      <c r="D340" s="1"/>
      <c r="E340" s="1"/>
      <c r="F340" s="1"/>
      <c r="G340" s="3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5.75" customHeight="1" x14ac:dyDescent="0.2">
      <c r="A341" s="1"/>
      <c r="B341" s="1"/>
      <c r="C341" s="1"/>
      <c r="D341" s="1"/>
      <c r="E341" s="1"/>
      <c r="F341" s="1"/>
      <c r="G341" s="3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5.75" customHeight="1" x14ac:dyDescent="0.2">
      <c r="A342" s="1"/>
      <c r="B342" s="1"/>
      <c r="C342" s="1"/>
      <c r="D342" s="1"/>
      <c r="E342" s="1"/>
      <c r="F342" s="1"/>
      <c r="G342" s="3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5.75" customHeight="1" x14ac:dyDescent="0.2">
      <c r="A343" s="1"/>
      <c r="B343" s="1"/>
      <c r="C343" s="1"/>
      <c r="D343" s="1"/>
      <c r="E343" s="1"/>
      <c r="F343" s="1"/>
      <c r="G343" s="3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5.75" customHeight="1" x14ac:dyDescent="0.2">
      <c r="A344" s="1"/>
      <c r="B344" s="1"/>
      <c r="C344" s="1"/>
      <c r="D344" s="1"/>
      <c r="E344" s="1"/>
      <c r="F344" s="1"/>
      <c r="G344" s="3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5.75" customHeight="1" x14ac:dyDescent="0.2">
      <c r="A345" s="1"/>
      <c r="B345" s="1"/>
      <c r="C345" s="1"/>
      <c r="D345" s="1"/>
      <c r="E345" s="1"/>
      <c r="F345" s="1"/>
      <c r="G345" s="3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5.75" customHeight="1" x14ac:dyDescent="0.2">
      <c r="A346" s="1"/>
      <c r="B346" s="1"/>
      <c r="C346" s="1"/>
      <c r="D346" s="1"/>
      <c r="E346" s="1"/>
      <c r="F346" s="1"/>
      <c r="G346" s="3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5.75" customHeight="1" x14ac:dyDescent="0.2">
      <c r="A347" s="1"/>
      <c r="B347" s="1"/>
      <c r="C347" s="1"/>
      <c r="D347" s="1"/>
      <c r="E347" s="1"/>
      <c r="F347" s="1"/>
      <c r="G347" s="3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5.75" customHeight="1" x14ac:dyDescent="0.2">
      <c r="A348" s="1"/>
      <c r="B348" s="1"/>
      <c r="C348" s="1"/>
      <c r="D348" s="1"/>
      <c r="E348" s="1"/>
      <c r="F348" s="1"/>
      <c r="G348" s="3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5.75" customHeight="1" x14ac:dyDescent="0.2">
      <c r="A349" s="1"/>
      <c r="B349" s="1"/>
      <c r="C349" s="1"/>
      <c r="D349" s="1"/>
      <c r="E349" s="1"/>
      <c r="F349" s="1"/>
      <c r="G349" s="3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5.75" customHeight="1" x14ac:dyDescent="0.2">
      <c r="A350" s="1"/>
      <c r="B350" s="1"/>
      <c r="C350" s="1"/>
      <c r="D350" s="1"/>
      <c r="E350" s="1"/>
      <c r="F350" s="1"/>
      <c r="G350" s="3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5.75" customHeight="1" x14ac:dyDescent="0.2">
      <c r="A351" s="1"/>
      <c r="B351" s="1"/>
      <c r="C351" s="1"/>
      <c r="D351" s="1"/>
      <c r="E351" s="1"/>
      <c r="F351" s="1"/>
      <c r="G351" s="3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5.75" customHeight="1" x14ac:dyDescent="0.2">
      <c r="A352" s="1"/>
      <c r="B352" s="1"/>
      <c r="C352" s="1"/>
      <c r="D352" s="1"/>
      <c r="E352" s="1"/>
      <c r="F352" s="1"/>
      <c r="G352" s="3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5.75" customHeight="1" x14ac:dyDescent="0.2">
      <c r="A353" s="1"/>
      <c r="B353" s="1"/>
      <c r="C353" s="1"/>
      <c r="D353" s="1"/>
      <c r="E353" s="1"/>
      <c r="F353" s="1"/>
      <c r="G353" s="3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5.75" customHeight="1" x14ac:dyDescent="0.2">
      <c r="A354" s="1"/>
      <c r="B354" s="1"/>
      <c r="C354" s="1"/>
      <c r="D354" s="1"/>
      <c r="E354" s="1"/>
      <c r="F354" s="1"/>
      <c r="G354" s="3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5.75" customHeight="1" x14ac:dyDescent="0.2">
      <c r="A355" s="1"/>
      <c r="B355" s="1"/>
      <c r="C355" s="1"/>
      <c r="D355" s="1"/>
      <c r="E355" s="1"/>
      <c r="F355" s="1"/>
      <c r="G355" s="3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5.75" customHeight="1" x14ac:dyDescent="0.2">
      <c r="A356" s="1"/>
      <c r="B356" s="1"/>
      <c r="C356" s="1"/>
      <c r="D356" s="1"/>
      <c r="E356" s="1"/>
      <c r="F356" s="1"/>
      <c r="G356" s="3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5.75" customHeight="1" x14ac:dyDescent="0.2">
      <c r="A357" s="1"/>
      <c r="B357" s="1"/>
      <c r="C357" s="1"/>
      <c r="D357" s="1"/>
      <c r="E357" s="1"/>
      <c r="F357" s="1"/>
      <c r="G357" s="3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5.75" customHeight="1" x14ac:dyDescent="0.2">
      <c r="A358" s="1"/>
      <c r="B358" s="1"/>
      <c r="C358" s="1"/>
      <c r="D358" s="1"/>
      <c r="E358" s="1"/>
      <c r="F358" s="1"/>
      <c r="G358" s="3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5.75" customHeight="1" x14ac:dyDescent="0.2">
      <c r="A359" s="1"/>
      <c r="B359" s="1"/>
      <c r="C359" s="1"/>
      <c r="D359" s="1"/>
      <c r="E359" s="1"/>
      <c r="F359" s="1"/>
      <c r="G359" s="3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5.75" customHeight="1" x14ac:dyDescent="0.2">
      <c r="A360" s="1"/>
      <c r="B360" s="1"/>
      <c r="C360" s="1"/>
      <c r="D360" s="1"/>
      <c r="E360" s="1"/>
      <c r="F360" s="1"/>
      <c r="G360" s="3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5.75" customHeight="1" x14ac:dyDescent="0.2">
      <c r="A361" s="1"/>
      <c r="B361" s="1"/>
      <c r="C361" s="1"/>
      <c r="D361" s="1"/>
      <c r="E361" s="1"/>
      <c r="F361" s="1"/>
      <c r="G361" s="3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5.75" customHeight="1" x14ac:dyDescent="0.2">
      <c r="A362" s="1"/>
      <c r="B362" s="1"/>
      <c r="C362" s="1"/>
      <c r="D362" s="1"/>
      <c r="E362" s="1"/>
      <c r="F362" s="1"/>
      <c r="G362" s="3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5.75" customHeight="1" x14ac:dyDescent="0.2">
      <c r="A363" s="1"/>
      <c r="B363" s="1"/>
      <c r="C363" s="1"/>
      <c r="D363" s="1"/>
      <c r="E363" s="1"/>
      <c r="F363" s="1"/>
      <c r="G363" s="3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5.75" customHeight="1" x14ac:dyDescent="0.2">
      <c r="A364" s="1"/>
      <c r="B364" s="1"/>
      <c r="C364" s="1"/>
      <c r="D364" s="1"/>
      <c r="E364" s="1"/>
      <c r="F364" s="1"/>
      <c r="G364" s="3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5.75" customHeight="1" x14ac:dyDescent="0.2">
      <c r="A365" s="1"/>
      <c r="B365" s="1"/>
      <c r="C365" s="1"/>
      <c r="D365" s="1"/>
      <c r="E365" s="1"/>
      <c r="F365" s="1"/>
      <c r="G365" s="3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5.75" customHeight="1" x14ac:dyDescent="0.2">
      <c r="A366" s="1"/>
      <c r="B366" s="1"/>
      <c r="C366" s="1"/>
      <c r="D366" s="1"/>
      <c r="E366" s="1"/>
      <c r="F366" s="1"/>
      <c r="G366" s="3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5.75" customHeight="1" x14ac:dyDescent="0.2">
      <c r="A367" s="1"/>
      <c r="B367" s="1"/>
      <c r="C367" s="1"/>
      <c r="D367" s="1"/>
      <c r="E367" s="1"/>
      <c r="F367" s="1"/>
      <c r="G367" s="3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5.75" customHeight="1" x14ac:dyDescent="0.2">
      <c r="A368" s="1"/>
      <c r="B368" s="1"/>
      <c r="C368" s="1"/>
      <c r="D368" s="1"/>
      <c r="E368" s="1"/>
      <c r="F368" s="1"/>
      <c r="G368" s="3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5.75" customHeight="1" x14ac:dyDescent="0.2">
      <c r="A369" s="1"/>
      <c r="B369" s="1"/>
      <c r="C369" s="1"/>
      <c r="D369" s="1"/>
      <c r="E369" s="1"/>
      <c r="F369" s="1"/>
      <c r="G369" s="3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5.75" customHeight="1" x14ac:dyDescent="0.2">
      <c r="A370" s="1"/>
      <c r="B370" s="1"/>
      <c r="C370" s="1"/>
      <c r="D370" s="1"/>
      <c r="E370" s="1"/>
      <c r="F370" s="1"/>
      <c r="G370" s="3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5.75" customHeight="1" x14ac:dyDescent="0.2">
      <c r="A371" s="1"/>
      <c r="B371" s="1"/>
      <c r="C371" s="1"/>
      <c r="D371" s="1"/>
      <c r="E371" s="1"/>
      <c r="F371" s="1"/>
      <c r="G371" s="3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5.75" customHeight="1" x14ac:dyDescent="0.2">
      <c r="A372" s="1"/>
      <c r="B372" s="1"/>
      <c r="C372" s="1"/>
      <c r="D372" s="1"/>
      <c r="E372" s="1"/>
      <c r="F372" s="1"/>
      <c r="G372" s="3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5.75" customHeight="1" x14ac:dyDescent="0.2">
      <c r="A373" s="1"/>
      <c r="B373" s="1"/>
      <c r="C373" s="1"/>
      <c r="D373" s="1"/>
      <c r="E373" s="1"/>
      <c r="F373" s="1"/>
      <c r="G373" s="3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5.75" customHeight="1" x14ac:dyDescent="0.2">
      <c r="A374" s="1"/>
      <c r="B374" s="1"/>
      <c r="C374" s="1"/>
      <c r="D374" s="1"/>
      <c r="E374" s="1"/>
      <c r="F374" s="1"/>
      <c r="G374" s="3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5.75" customHeight="1" x14ac:dyDescent="0.2">
      <c r="A375" s="1"/>
      <c r="B375" s="1"/>
      <c r="C375" s="1"/>
      <c r="D375" s="1"/>
      <c r="E375" s="1"/>
      <c r="F375" s="1"/>
      <c r="G375" s="3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5.75" customHeight="1" x14ac:dyDescent="0.2">
      <c r="A376" s="1"/>
      <c r="B376" s="1"/>
      <c r="C376" s="1"/>
      <c r="D376" s="1"/>
      <c r="E376" s="1"/>
      <c r="F376" s="1"/>
      <c r="G376" s="3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5.75" customHeight="1" x14ac:dyDescent="0.2">
      <c r="A377" s="1"/>
      <c r="B377" s="1"/>
      <c r="C377" s="1"/>
      <c r="D377" s="1"/>
      <c r="E377" s="1"/>
      <c r="F377" s="1"/>
      <c r="G377" s="3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5.75" customHeight="1" x14ac:dyDescent="0.2">
      <c r="A378" s="1"/>
      <c r="B378" s="1"/>
      <c r="C378" s="1"/>
      <c r="D378" s="1"/>
      <c r="E378" s="1"/>
      <c r="F378" s="1"/>
      <c r="G378" s="3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5.75" customHeight="1" x14ac:dyDescent="0.2">
      <c r="A379" s="1"/>
      <c r="B379" s="1"/>
      <c r="C379" s="1"/>
      <c r="D379" s="1"/>
      <c r="E379" s="1"/>
      <c r="F379" s="1"/>
      <c r="G379" s="3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5.75" customHeight="1" x14ac:dyDescent="0.2">
      <c r="A380" s="1"/>
      <c r="B380" s="1"/>
      <c r="C380" s="1"/>
      <c r="D380" s="1"/>
      <c r="E380" s="1"/>
      <c r="F380" s="1"/>
      <c r="G380" s="3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5.75" customHeight="1" x14ac:dyDescent="0.2">
      <c r="A381" s="1"/>
      <c r="B381" s="1"/>
      <c r="C381" s="1"/>
      <c r="D381" s="1"/>
      <c r="E381" s="1"/>
      <c r="F381" s="1"/>
      <c r="G381" s="3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5.75" customHeight="1" x14ac:dyDescent="0.2">
      <c r="A382" s="1"/>
      <c r="B382" s="1"/>
      <c r="C382" s="1"/>
      <c r="D382" s="1"/>
      <c r="E382" s="1"/>
      <c r="F382" s="1"/>
      <c r="G382" s="3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5.75" customHeight="1" x14ac:dyDescent="0.2">
      <c r="A383" s="1"/>
      <c r="B383" s="1"/>
      <c r="C383" s="1"/>
      <c r="D383" s="1"/>
      <c r="E383" s="1"/>
      <c r="F383" s="1"/>
      <c r="G383" s="3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5.75" customHeight="1" x14ac:dyDescent="0.2">
      <c r="A384" s="1"/>
      <c r="B384" s="1"/>
      <c r="C384" s="1"/>
      <c r="D384" s="1"/>
      <c r="E384" s="1"/>
      <c r="F384" s="1"/>
      <c r="G384" s="3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5.75" customHeight="1" x14ac:dyDescent="0.2">
      <c r="A385" s="1"/>
      <c r="B385" s="1"/>
      <c r="C385" s="1"/>
      <c r="D385" s="1"/>
      <c r="E385" s="1"/>
      <c r="F385" s="1"/>
      <c r="G385" s="3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5.75" customHeight="1" x14ac:dyDescent="0.2">
      <c r="A386" s="1"/>
      <c r="B386" s="1"/>
      <c r="C386" s="1"/>
      <c r="D386" s="1"/>
      <c r="E386" s="1"/>
      <c r="F386" s="1"/>
      <c r="G386" s="3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5.75" customHeight="1" x14ac:dyDescent="0.2">
      <c r="A387" s="1"/>
      <c r="B387" s="1"/>
      <c r="C387" s="1"/>
      <c r="D387" s="1"/>
      <c r="E387" s="1"/>
      <c r="F387" s="1"/>
      <c r="G387" s="3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5.75" customHeight="1" x14ac:dyDescent="0.2">
      <c r="A388" s="1"/>
      <c r="B388" s="1"/>
      <c r="C388" s="1"/>
      <c r="D388" s="1"/>
      <c r="E388" s="1"/>
      <c r="F388" s="1"/>
      <c r="G388" s="3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5.75" customHeight="1" x14ac:dyDescent="0.2">
      <c r="A389" s="1"/>
      <c r="B389" s="1"/>
      <c r="C389" s="1"/>
      <c r="D389" s="1"/>
      <c r="E389" s="1"/>
      <c r="F389" s="1"/>
      <c r="G389" s="3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5.75" customHeight="1" x14ac:dyDescent="0.2">
      <c r="A390" s="1"/>
      <c r="B390" s="1"/>
      <c r="C390" s="1"/>
      <c r="D390" s="1"/>
      <c r="E390" s="1"/>
      <c r="F390" s="1"/>
      <c r="G390" s="3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5.75" customHeight="1" x14ac:dyDescent="0.2">
      <c r="A391" s="1"/>
      <c r="B391" s="1"/>
      <c r="C391" s="1"/>
      <c r="D391" s="1"/>
      <c r="E391" s="1"/>
      <c r="F391" s="1"/>
      <c r="G391" s="3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5.75" customHeight="1" x14ac:dyDescent="0.2">
      <c r="A392" s="1"/>
      <c r="B392" s="1"/>
      <c r="C392" s="1"/>
      <c r="D392" s="1"/>
      <c r="E392" s="1"/>
      <c r="F392" s="1"/>
      <c r="G392" s="3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5.75" customHeight="1" x14ac:dyDescent="0.2">
      <c r="A393" s="1"/>
      <c r="B393" s="1"/>
      <c r="C393" s="1"/>
      <c r="D393" s="1"/>
      <c r="E393" s="1"/>
      <c r="F393" s="1"/>
      <c r="G393" s="3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5.75" customHeight="1" x14ac:dyDescent="0.2">
      <c r="A394" s="1"/>
      <c r="B394" s="1"/>
      <c r="C394" s="1"/>
      <c r="D394" s="1"/>
      <c r="E394" s="1"/>
      <c r="F394" s="1"/>
      <c r="G394" s="3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5.75" customHeight="1" x14ac:dyDescent="0.2">
      <c r="A395" s="1"/>
      <c r="B395" s="1"/>
      <c r="C395" s="1"/>
      <c r="D395" s="1"/>
      <c r="E395" s="1"/>
      <c r="F395" s="1"/>
      <c r="G395" s="3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5.75" customHeight="1" x14ac:dyDescent="0.2">
      <c r="A396" s="1"/>
      <c r="B396" s="1"/>
      <c r="C396" s="1"/>
      <c r="D396" s="1"/>
      <c r="E396" s="1"/>
      <c r="F396" s="1"/>
      <c r="G396" s="3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5.75" customHeight="1" x14ac:dyDescent="0.2">
      <c r="A397" s="1"/>
      <c r="B397" s="1"/>
      <c r="C397" s="1"/>
      <c r="D397" s="1"/>
      <c r="E397" s="1"/>
      <c r="F397" s="1"/>
      <c r="G397" s="3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5.75" customHeight="1" x14ac:dyDescent="0.2">
      <c r="A398" s="1"/>
      <c r="B398" s="1"/>
      <c r="C398" s="1"/>
      <c r="D398" s="1"/>
      <c r="E398" s="1"/>
      <c r="F398" s="1"/>
      <c r="G398" s="3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5.75" customHeight="1" x14ac:dyDescent="0.2">
      <c r="A399" s="1"/>
      <c r="B399" s="1"/>
      <c r="C399" s="1"/>
      <c r="D399" s="1"/>
      <c r="E399" s="1"/>
      <c r="F399" s="1"/>
      <c r="G399" s="3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5.75" customHeight="1" x14ac:dyDescent="0.2">
      <c r="A400" s="1"/>
      <c r="B400" s="1"/>
      <c r="C400" s="1"/>
      <c r="D400" s="1"/>
      <c r="E400" s="1"/>
      <c r="F400" s="1"/>
      <c r="G400" s="3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5.75" customHeight="1" x14ac:dyDescent="0.2">
      <c r="A401" s="1"/>
      <c r="B401" s="1"/>
      <c r="C401" s="1"/>
      <c r="D401" s="1"/>
      <c r="E401" s="1"/>
      <c r="F401" s="1"/>
      <c r="G401" s="3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5.75" customHeight="1" x14ac:dyDescent="0.2">
      <c r="A402" s="1"/>
      <c r="B402" s="1"/>
      <c r="C402" s="1"/>
      <c r="D402" s="1"/>
      <c r="E402" s="1"/>
      <c r="F402" s="1"/>
      <c r="G402" s="3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5.75" customHeight="1" x14ac:dyDescent="0.2">
      <c r="A403" s="1"/>
      <c r="B403" s="1"/>
      <c r="C403" s="1"/>
      <c r="D403" s="1"/>
      <c r="E403" s="1"/>
      <c r="F403" s="1"/>
      <c r="G403" s="3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5.75" customHeight="1" x14ac:dyDescent="0.2">
      <c r="A404" s="1"/>
      <c r="B404" s="1"/>
      <c r="C404" s="1"/>
      <c r="D404" s="1"/>
      <c r="E404" s="1"/>
      <c r="F404" s="1"/>
      <c r="G404" s="3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5.75" customHeight="1" x14ac:dyDescent="0.2">
      <c r="A405" s="1"/>
      <c r="B405" s="1"/>
      <c r="C405" s="1"/>
      <c r="D405" s="1"/>
      <c r="E405" s="1"/>
      <c r="F405" s="1"/>
      <c r="G405" s="3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5.75" customHeight="1" x14ac:dyDescent="0.2">
      <c r="A406" s="1"/>
      <c r="B406" s="1"/>
      <c r="C406" s="1"/>
      <c r="D406" s="1"/>
      <c r="E406" s="1"/>
      <c r="F406" s="1"/>
      <c r="G406" s="3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5.75" customHeight="1" x14ac:dyDescent="0.2">
      <c r="A407" s="1"/>
      <c r="B407" s="1"/>
      <c r="C407" s="1"/>
      <c r="D407" s="1"/>
      <c r="E407" s="1"/>
      <c r="F407" s="1"/>
      <c r="G407" s="3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5.75" customHeight="1" x14ac:dyDescent="0.2">
      <c r="A408" s="1"/>
      <c r="B408" s="1"/>
      <c r="C408" s="1"/>
      <c r="D408" s="1"/>
      <c r="E408" s="1"/>
      <c r="F408" s="1"/>
      <c r="G408" s="3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5.75" customHeight="1" x14ac:dyDescent="0.2">
      <c r="A409" s="1"/>
      <c r="B409" s="1"/>
      <c r="C409" s="1"/>
      <c r="D409" s="1"/>
      <c r="E409" s="1"/>
      <c r="F409" s="1"/>
      <c r="G409" s="3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5.75" customHeight="1" x14ac:dyDescent="0.2">
      <c r="A410" s="1"/>
      <c r="B410" s="1"/>
      <c r="C410" s="1"/>
      <c r="D410" s="1"/>
      <c r="E410" s="1"/>
      <c r="F410" s="1"/>
      <c r="G410" s="3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5.75" customHeight="1" x14ac:dyDescent="0.2">
      <c r="A411" s="1"/>
      <c r="B411" s="1"/>
      <c r="C411" s="1"/>
      <c r="D411" s="1"/>
      <c r="E411" s="1"/>
      <c r="F411" s="1"/>
      <c r="G411" s="3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5.75" customHeight="1" x14ac:dyDescent="0.2">
      <c r="A412" s="1"/>
      <c r="B412" s="1"/>
      <c r="C412" s="1"/>
      <c r="D412" s="1"/>
      <c r="E412" s="1"/>
      <c r="F412" s="1"/>
      <c r="G412" s="3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5.75" customHeight="1" x14ac:dyDescent="0.2">
      <c r="A413" s="1"/>
      <c r="B413" s="1"/>
      <c r="C413" s="1"/>
      <c r="D413" s="1"/>
      <c r="E413" s="1"/>
      <c r="F413" s="1"/>
      <c r="G413" s="3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5.75" customHeight="1" x14ac:dyDescent="0.2">
      <c r="A414" s="1"/>
      <c r="B414" s="1"/>
      <c r="C414" s="1"/>
      <c r="D414" s="1"/>
      <c r="E414" s="1"/>
      <c r="F414" s="1"/>
      <c r="G414" s="3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5.75" customHeight="1" x14ac:dyDescent="0.2">
      <c r="A415" s="1"/>
      <c r="B415" s="1"/>
      <c r="C415" s="1"/>
      <c r="D415" s="1"/>
      <c r="E415" s="1"/>
      <c r="F415" s="1"/>
      <c r="G415" s="3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5.75" customHeight="1" x14ac:dyDescent="0.2">
      <c r="A416" s="1"/>
      <c r="B416" s="1"/>
      <c r="C416" s="1"/>
      <c r="D416" s="1"/>
      <c r="E416" s="1"/>
      <c r="F416" s="1"/>
      <c r="G416" s="3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5.75" customHeight="1" x14ac:dyDescent="0.2">
      <c r="A417" s="1"/>
      <c r="B417" s="1"/>
      <c r="C417" s="1"/>
      <c r="D417" s="1"/>
      <c r="E417" s="1"/>
      <c r="F417" s="1"/>
      <c r="G417" s="3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5.75" customHeight="1" x14ac:dyDescent="0.2">
      <c r="A418" s="1"/>
      <c r="B418" s="1"/>
      <c r="C418" s="1"/>
      <c r="D418" s="1"/>
      <c r="E418" s="1"/>
      <c r="F418" s="1"/>
      <c r="G418" s="3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5.75" customHeight="1" x14ac:dyDescent="0.2">
      <c r="A419" s="1"/>
      <c r="B419" s="1"/>
      <c r="C419" s="1"/>
      <c r="D419" s="1"/>
      <c r="E419" s="1"/>
      <c r="F419" s="1"/>
      <c r="G419" s="3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5.75" customHeight="1" x14ac:dyDescent="0.2">
      <c r="A420" s="1"/>
      <c r="B420" s="1"/>
      <c r="C420" s="1"/>
      <c r="D420" s="1"/>
      <c r="E420" s="1"/>
      <c r="F420" s="1"/>
      <c r="G420" s="3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5.75" customHeight="1" x14ac:dyDescent="0.2">
      <c r="A421" s="1"/>
      <c r="B421" s="1"/>
      <c r="C421" s="1"/>
      <c r="D421" s="1"/>
      <c r="E421" s="1"/>
      <c r="F421" s="1"/>
      <c r="G421" s="3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5.75" customHeight="1" x14ac:dyDescent="0.2">
      <c r="A422" s="1"/>
      <c r="B422" s="1"/>
      <c r="C422" s="1"/>
      <c r="D422" s="1"/>
      <c r="E422" s="1"/>
      <c r="F422" s="1"/>
      <c r="G422" s="3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5.75" customHeight="1" x14ac:dyDescent="0.2">
      <c r="A423" s="1"/>
      <c r="B423" s="1"/>
      <c r="C423" s="1"/>
      <c r="D423" s="1"/>
      <c r="E423" s="1"/>
      <c r="F423" s="1"/>
      <c r="G423" s="3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5.75" customHeight="1" x14ac:dyDescent="0.2">
      <c r="A424" s="1"/>
      <c r="B424" s="1"/>
      <c r="C424" s="1"/>
      <c r="D424" s="1"/>
      <c r="E424" s="1"/>
      <c r="F424" s="1"/>
      <c r="G424" s="3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5.75" customHeight="1" x14ac:dyDescent="0.2">
      <c r="A425" s="1"/>
      <c r="B425" s="1"/>
      <c r="C425" s="1"/>
      <c r="D425" s="1"/>
      <c r="E425" s="1"/>
      <c r="F425" s="1"/>
      <c r="G425" s="3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5.75" customHeight="1" x14ac:dyDescent="0.2">
      <c r="A426" s="1"/>
      <c r="B426" s="1"/>
      <c r="C426" s="1"/>
      <c r="D426" s="1"/>
      <c r="E426" s="1"/>
      <c r="F426" s="1"/>
      <c r="G426" s="3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5.75" customHeight="1" x14ac:dyDescent="0.2">
      <c r="A427" s="1"/>
      <c r="B427" s="1"/>
      <c r="C427" s="1"/>
      <c r="D427" s="1"/>
      <c r="E427" s="1"/>
      <c r="F427" s="1"/>
      <c r="G427" s="3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5.75" customHeight="1" x14ac:dyDescent="0.2">
      <c r="A428" s="1"/>
      <c r="B428" s="1"/>
      <c r="C428" s="1"/>
      <c r="D428" s="1"/>
      <c r="E428" s="1"/>
      <c r="F428" s="1"/>
      <c r="G428" s="3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5.75" customHeight="1" x14ac:dyDescent="0.2">
      <c r="A429" s="1"/>
      <c r="B429" s="1"/>
      <c r="C429" s="1"/>
      <c r="D429" s="1"/>
      <c r="E429" s="1"/>
      <c r="F429" s="1"/>
      <c r="G429" s="3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5.75" customHeight="1" x14ac:dyDescent="0.2">
      <c r="A430" s="1"/>
      <c r="B430" s="1"/>
      <c r="C430" s="1"/>
      <c r="D430" s="1"/>
      <c r="E430" s="1"/>
      <c r="F430" s="1"/>
      <c r="G430" s="3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5.75" customHeight="1" x14ac:dyDescent="0.2">
      <c r="A431" s="1"/>
      <c r="B431" s="1"/>
      <c r="C431" s="1"/>
      <c r="D431" s="1"/>
      <c r="E431" s="1"/>
      <c r="F431" s="1"/>
      <c r="G431" s="3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5.75" customHeight="1" x14ac:dyDescent="0.2">
      <c r="A432" s="1"/>
      <c r="B432" s="1"/>
      <c r="C432" s="1"/>
      <c r="D432" s="1"/>
      <c r="E432" s="1"/>
      <c r="F432" s="1"/>
      <c r="G432" s="3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5.75" customHeight="1" x14ac:dyDescent="0.2">
      <c r="A433" s="1"/>
      <c r="B433" s="1"/>
      <c r="C433" s="1"/>
      <c r="D433" s="1"/>
      <c r="E433" s="1"/>
      <c r="F433" s="1"/>
      <c r="G433" s="3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5.75" customHeight="1" x14ac:dyDescent="0.2">
      <c r="A434" s="1"/>
      <c r="B434" s="1"/>
      <c r="C434" s="1"/>
      <c r="D434" s="1"/>
      <c r="E434" s="1"/>
      <c r="F434" s="1"/>
      <c r="G434" s="3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5.75" customHeight="1" x14ac:dyDescent="0.2">
      <c r="A435" s="1"/>
      <c r="B435" s="1"/>
      <c r="C435" s="1"/>
      <c r="D435" s="1"/>
      <c r="E435" s="1"/>
      <c r="F435" s="1"/>
      <c r="G435" s="3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5.75" customHeight="1" x14ac:dyDescent="0.2">
      <c r="A436" s="1"/>
      <c r="B436" s="1"/>
      <c r="C436" s="1"/>
      <c r="D436" s="1"/>
      <c r="E436" s="1"/>
      <c r="F436" s="1"/>
      <c r="G436" s="3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5.75" customHeight="1" x14ac:dyDescent="0.2">
      <c r="A437" s="1"/>
      <c r="B437" s="1"/>
      <c r="C437" s="1"/>
      <c r="D437" s="1"/>
      <c r="E437" s="1"/>
      <c r="F437" s="1"/>
      <c r="G437" s="3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5.75" customHeight="1" x14ac:dyDescent="0.2">
      <c r="A438" s="1"/>
      <c r="B438" s="1"/>
      <c r="C438" s="1"/>
      <c r="D438" s="1"/>
      <c r="E438" s="1"/>
      <c r="F438" s="1"/>
      <c r="G438" s="3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5.75" customHeight="1" x14ac:dyDescent="0.2">
      <c r="A439" s="1"/>
      <c r="B439" s="1"/>
      <c r="C439" s="1"/>
      <c r="D439" s="1"/>
      <c r="E439" s="1"/>
      <c r="F439" s="1"/>
      <c r="G439" s="3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5.75" customHeight="1" x14ac:dyDescent="0.2">
      <c r="A440" s="1"/>
      <c r="B440" s="1"/>
      <c r="C440" s="1"/>
      <c r="D440" s="1"/>
      <c r="E440" s="1"/>
      <c r="F440" s="1"/>
      <c r="G440" s="3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5.75" customHeight="1" x14ac:dyDescent="0.2">
      <c r="A441" s="1"/>
      <c r="B441" s="1"/>
      <c r="C441" s="1"/>
      <c r="D441" s="1"/>
      <c r="E441" s="1"/>
      <c r="F441" s="1"/>
      <c r="G441" s="3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5.75" customHeight="1" x14ac:dyDescent="0.2">
      <c r="A442" s="1"/>
      <c r="B442" s="1"/>
      <c r="C442" s="1"/>
      <c r="D442" s="1"/>
      <c r="E442" s="1"/>
      <c r="F442" s="1"/>
      <c r="G442" s="3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5.75" customHeight="1" x14ac:dyDescent="0.2">
      <c r="A443" s="1"/>
      <c r="B443" s="1"/>
      <c r="C443" s="1"/>
      <c r="D443" s="1"/>
      <c r="E443" s="1"/>
      <c r="F443" s="1"/>
      <c r="G443" s="3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5.75" customHeight="1" x14ac:dyDescent="0.2">
      <c r="A444" s="1"/>
      <c r="B444" s="1"/>
      <c r="C444" s="1"/>
      <c r="D444" s="1"/>
      <c r="E444" s="1"/>
      <c r="F444" s="1"/>
      <c r="G444" s="3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5.75" customHeight="1" x14ac:dyDescent="0.2">
      <c r="A445" s="1"/>
      <c r="B445" s="1"/>
      <c r="C445" s="1"/>
      <c r="D445" s="1"/>
      <c r="E445" s="1"/>
      <c r="F445" s="1"/>
      <c r="G445" s="3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5.75" customHeight="1" x14ac:dyDescent="0.2">
      <c r="A446" s="1"/>
      <c r="B446" s="1"/>
      <c r="C446" s="1"/>
      <c r="D446" s="1"/>
      <c r="E446" s="1"/>
      <c r="F446" s="1"/>
      <c r="G446" s="3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5.75" customHeight="1" x14ac:dyDescent="0.2">
      <c r="A447" s="1"/>
      <c r="B447" s="1"/>
      <c r="C447" s="1"/>
      <c r="D447" s="1"/>
      <c r="E447" s="1"/>
      <c r="F447" s="1"/>
      <c r="G447" s="3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5.75" customHeight="1" x14ac:dyDescent="0.2">
      <c r="A448" s="1"/>
      <c r="B448" s="1"/>
      <c r="C448" s="1"/>
      <c r="D448" s="1"/>
      <c r="E448" s="1"/>
      <c r="F448" s="1"/>
      <c r="G448" s="3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5.75" customHeight="1" x14ac:dyDescent="0.2">
      <c r="A449" s="1"/>
      <c r="B449" s="1"/>
      <c r="C449" s="1"/>
      <c r="D449" s="1"/>
      <c r="E449" s="1"/>
      <c r="F449" s="1"/>
      <c r="G449" s="3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5.75" customHeight="1" x14ac:dyDescent="0.2">
      <c r="A450" s="1"/>
      <c r="B450" s="1"/>
      <c r="C450" s="1"/>
      <c r="D450" s="1"/>
      <c r="E450" s="1"/>
      <c r="F450" s="1"/>
      <c r="G450" s="3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5.75" customHeight="1" x14ac:dyDescent="0.2">
      <c r="A451" s="1"/>
      <c r="B451" s="1"/>
      <c r="C451" s="1"/>
      <c r="D451" s="1"/>
      <c r="E451" s="1"/>
      <c r="F451" s="1"/>
      <c r="G451" s="3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5.75" customHeight="1" x14ac:dyDescent="0.2">
      <c r="A452" s="1"/>
      <c r="B452" s="1"/>
      <c r="C452" s="1"/>
      <c r="D452" s="1"/>
      <c r="E452" s="1"/>
      <c r="F452" s="1"/>
      <c r="G452" s="3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5.75" customHeight="1" x14ac:dyDescent="0.2">
      <c r="A453" s="1"/>
      <c r="B453" s="1"/>
      <c r="C453" s="1"/>
      <c r="D453" s="1"/>
      <c r="E453" s="1"/>
      <c r="F453" s="1"/>
      <c r="G453" s="3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5.75" customHeight="1" x14ac:dyDescent="0.2">
      <c r="A454" s="1"/>
      <c r="B454" s="1"/>
      <c r="C454" s="1"/>
      <c r="D454" s="1"/>
      <c r="E454" s="1"/>
      <c r="F454" s="1"/>
      <c r="G454" s="3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5.75" customHeight="1" x14ac:dyDescent="0.2">
      <c r="A455" s="1"/>
      <c r="B455" s="1"/>
      <c r="C455" s="1"/>
      <c r="D455" s="1"/>
      <c r="E455" s="1"/>
      <c r="F455" s="1"/>
      <c r="G455" s="3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5.75" customHeight="1" x14ac:dyDescent="0.2">
      <c r="A456" s="1"/>
      <c r="B456" s="1"/>
      <c r="C456" s="1"/>
      <c r="D456" s="1"/>
      <c r="E456" s="1"/>
      <c r="F456" s="1"/>
      <c r="G456" s="3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5.75" customHeight="1" x14ac:dyDescent="0.2">
      <c r="A457" s="1"/>
      <c r="B457" s="1"/>
      <c r="C457" s="1"/>
      <c r="D457" s="1"/>
      <c r="E457" s="1"/>
      <c r="F457" s="1"/>
      <c r="G457" s="3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5.75" customHeight="1" x14ac:dyDescent="0.2">
      <c r="A458" s="1"/>
      <c r="B458" s="1"/>
      <c r="C458" s="1"/>
      <c r="D458" s="1"/>
      <c r="E458" s="1"/>
      <c r="F458" s="1"/>
      <c r="G458" s="3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5.75" customHeight="1" x14ac:dyDescent="0.2">
      <c r="A459" s="1"/>
      <c r="B459" s="1"/>
      <c r="C459" s="1"/>
      <c r="D459" s="1"/>
      <c r="E459" s="1"/>
      <c r="F459" s="1"/>
      <c r="G459" s="3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5.75" customHeight="1" x14ac:dyDescent="0.2">
      <c r="A460" s="1"/>
      <c r="B460" s="1"/>
      <c r="C460" s="1"/>
      <c r="D460" s="1"/>
      <c r="E460" s="1"/>
      <c r="F460" s="1"/>
      <c r="G460" s="3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5.75" customHeight="1" x14ac:dyDescent="0.2">
      <c r="A461" s="1"/>
      <c r="B461" s="1"/>
      <c r="C461" s="1"/>
      <c r="D461" s="1"/>
      <c r="E461" s="1"/>
      <c r="F461" s="1"/>
      <c r="G461" s="3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5.75" customHeight="1" x14ac:dyDescent="0.2">
      <c r="A462" s="1"/>
      <c r="B462" s="1"/>
      <c r="C462" s="1"/>
      <c r="D462" s="1"/>
      <c r="E462" s="1"/>
      <c r="F462" s="1"/>
      <c r="G462" s="3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5.75" customHeight="1" x14ac:dyDescent="0.2">
      <c r="A463" s="1"/>
      <c r="B463" s="1"/>
      <c r="C463" s="1"/>
      <c r="D463" s="1"/>
      <c r="E463" s="1"/>
      <c r="F463" s="1"/>
      <c r="G463" s="3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5.75" customHeight="1" x14ac:dyDescent="0.2">
      <c r="A464" s="1"/>
      <c r="B464" s="1"/>
      <c r="C464" s="1"/>
      <c r="D464" s="1"/>
      <c r="E464" s="1"/>
      <c r="F464" s="1"/>
      <c r="G464" s="3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5.75" customHeight="1" x14ac:dyDescent="0.2">
      <c r="A465" s="1"/>
      <c r="B465" s="1"/>
      <c r="C465" s="1"/>
      <c r="D465" s="1"/>
      <c r="E465" s="1"/>
      <c r="F465" s="1"/>
      <c r="G465" s="3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5.75" customHeight="1" x14ac:dyDescent="0.2">
      <c r="A466" s="1"/>
      <c r="B466" s="1"/>
      <c r="C466" s="1"/>
      <c r="D466" s="1"/>
      <c r="E466" s="1"/>
      <c r="F466" s="1"/>
      <c r="G466" s="3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5.75" customHeight="1" x14ac:dyDescent="0.2">
      <c r="A467" s="1"/>
      <c r="B467" s="1"/>
      <c r="C467" s="1"/>
      <c r="D467" s="1"/>
      <c r="E467" s="1"/>
      <c r="F467" s="1"/>
      <c r="G467" s="3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5.75" customHeight="1" x14ac:dyDescent="0.2">
      <c r="A468" s="1"/>
      <c r="B468" s="1"/>
      <c r="C468" s="1"/>
      <c r="D468" s="1"/>
      <c r="E468" s="1"/>
      <c r="F468" s="1"/>
      <c r="G468" s="3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5.75" customHeight="1" x14ac:dyDescent="0.2">
      <c r="A469" s="1"/>
      <c r="B469" s="1"/>
      <c r="C469" s="1"/>
      <c r="D469" s="1"/>
      <c r="E469" s="1"/>
      <c r="F469" s="1"/>
      <c r="G469" s="3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5.75" customHeight="1" x14ac:dyDescent="0.2">
      <c r="A470" s="1"/>
      <c r="B470" s="1"/>
      <c r="C470" s="1"/>
      <c r="D470" s="1"/>
      <c r="E470" s="1"/>
      <c r="F470" s="1"/>
      <c r="G470" s="3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5.75" customHeight="1" x14ac:dyDescent="0.2">
      <c r="A471" s="1"/>
      <c r="B471" s="1"/>
      <c r="C471" s="1"/>
      <c r="D471" s="1"/>
      <c r="E471" s="1"/>
      <c r="F471" s="1"/>
      <c r="G471" s="3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5.75" customHeight="1" x14ac:dyDescent="0.2">
      <c r="A472" s="1"/>
      <c r="B472" s="1"/>
      <c r="C472" s="1"/>
      <c r="D472" s="1"/>
      <c r="E472" s="1"/>
      <c r="F472" s="1"/>
      <c r="G472" s="3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5.75" customHeight="1" x14ac:dyDescent="0.2">
      <c r="A473" s="1"/>
      <c r="B473" s="1"/>
      <c r="C473" s="1"/>
      <c r="D473" s="1"/>
      <c r="E473" s="1"/>
      <c r="F473" s="1"/>
      <c r="G473" s="3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5.75" customHeight="1" x14ac:dyDescent="0.2">
      <c r="A474" s="1"/>
      <c r="B474" s="1"/>
      <c r="C474" s="1"/>
      <c r="D474" s="1"/>
      <c r="E474" s="1"/>
      <c r="F474" s="1"/>
      <c r="G474" s="3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5.75" customHeight="1" x14ac:dyDescent="0.2">
      <c r="A475" s="1"/>
      <c r="B475" s="1"/>
      <c r="C475" s="1"/>
      <c r="D475" s="1"/>
      <c r="E475" s="1"/>
      <c r="F475" s="1"/>
      <c r="G475" s="3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5.75" customHeight="1" x14ac:dyDescent="0.2">
      <c r="A476" s="1"/>
      <c r="B476" s="1"/>
      <c r="C476" s="1"/>
      <c r="D476" s="1"/>
      <c r="E476" s="1"/>
      <c r="F476" s="1"/>
      <c r="G476" s="3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5.75" customHeight="1" x14ac:dyDescent="0.2">
      <c r="A477" s="1"/>
      <c r="B477" s="1"/>
      <c r="C477" s="1"/>
      <c r="D477" s="1"/>
      <c r="E477" s="1"/>
      <c r="F477" s="1"/>
      <c r="G477" s="3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5.75" customHeight="1" x14ac:dyDescent="0.2">
      <c r="A478" s="1"/>
      <c r="B478" s="1"/>
      <c r="C478" s="1"/>
      <c r="D478" s="1"/>
      <c r="E478" s="1"/>
      <c r="F478" s="1"/>
      <c r="G478" s="3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5.75" customHeight="1" x14ac:dyDescent="0.2">
      <c r="A479" s="1"/>
      <c r="B479" s="1"/>
      <c r="C479" s="1"/>
      <c r="D479" s="1"/>
      <c r="E479" s="1"/>
      <c r="F479" s="1"/>
      <c r="G479" s="3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5.75" customHeight="1" x14ac:dyDescent="0.2">
      <c r="A480" s="1"/>
      <c r="B480" s="1"/>
      <c r="C480" s="1"/>
      <c r="D480" s="1"/>
      <c r="E480" s="1"/>
      <c r="F480" s="1"/>
      <c r="G480" s="3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5.75" customHeight="1" x14ac:dyDescent="0.2">
      <c r="A481" s="1"/>
      <c r="B481" s="1"/>
      <c r="C481" s="1"/>
      <c r="D481" s="1"/>
      <c r="E481" s="1"/>
      <c r="F481" s="1"/>
      <c r="G481" s="3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5.75" customHeight="1" x14ac:dyDescent="0.2">
      <c r="A482" s="1"/>
      <c r="B482" s="1"/>
      <c r="C482" s="1"/>
      <c r="D482" s="1"/>
      <c r="E482" s="1"/>
      <c r="F482" s="1"/>
      <c r="G482" s="3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5.75" customHeight="1" x14ac:dyDescent="0.2">
      <c r="A483" s="1"/>
      <c r="B483" s="1"/>
      <c r="C483" s="1"/>
      <c r="D483" s="1"/>
      <c r="E483" s="1"/>
      <c r="F483" s="1"/>
      <c r="G483" s="3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5.75" customHeight="1" x14ac:dyDescent="0.2">
      <c r="A484" s="1"/>
      <c r="B484" s="1"/>
      <c r="C484" s="1"/>
      <c r="D484" s="1"/>
      <c r="E484" s="1"/>
      <c r="F484" s="1"/>
      <c r="G484" s="3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5.75" customHeight="1" x14ac:dyDescent="0.2">
      <c r="A485" s="1"/>
      <c r="B485" s="1"/>
      <c r="C485" s="1"/>
      <c r="D485" s="1"/>
      <c r="E485" s="1"/>
      <c r="F485" s="1"/>
      <c r="G485" s="3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5.75" customHeight="1" x14ac:dyDescent="0.2">
      <c r="A486" s="1"/>
      <c r="B486" s="1"/>
      <c r="C486" s="1"/>
      <c r="D486" s="1"/>
      <c r="E486" s="1"/>
      <c r="F486" s="1"/>
      <c r="G486" s="3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5.75" customHeight="1" x14ac:dyDescent="0.2">
      <c r="A487" s="1"/>
      <c r="B487" s="1"/>
      <c r="C487" s="1"/>
      <c r="D487" s="1"/>
      <c r="E487" s="1"/>
      <c r="F487" s="1"/>
      <c r="G487" s="3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5.75" customHeight="1" x14ac:dyDescent="0.2">
      <c r="A488" s="1"/>
      <c r="B488" s="1"/>
      <c r="C488" s="1"/>
      <c r="D488" s="1"/>
      <c r="E488" s="1"/>
      <c r="F488" s="1"/>
      <c r="G488" s="3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5.75" customHeight="1" x14ac:dyDescent="0.2">
      <c r="A489" s="1"/>
      <c r="B489" s="1"/>
      <c r="C489" s="1"/>
      <c r="D489" s="1"/>
      <c r="E489" s="1"/>
      <c r="F489" s="1"/>
      <c r="G489" s="3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5.75" customHeight="1" x14ac:dyDescent="0.2">
      <c r="A490" s="1"/>
      <c r="B490" s="1"/>
      <c r="C490" s="1"/>
      <c r="D490" s="1"/>
      <c r="E490" s="1"/>
      <c r="F490" s="1"/>
      <c r="G490" s="3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5.75" customHeight="1" x14ac:dyDescent="0.2">
      <c r="A491" s="1"/>
      <c r="B491" s="1"/>
      <c r="C491" s="1"/>
      <c r="D491" s="1"/>
      <c r="E491" s="1"/>
      <c r="F491" s="1"/>
      <c r="G491" s="3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5.75" customHeight="1" x14ac:dyDescent="0.2">
      <c r="A492" s="1"/>
      <c r="B492" s="1"/>
      <c r="C492" s="1"/>
      <c r="D492" s="1"/>
      <c r="E492" s="1"/>
      <c r="F492" s="1"/>
      <c r="G492" s="3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5.75" customHeight="1" x14ac:dyDescent="0.2">
      <c r="A493" s="1"/>
      <c r="B493" s="1"/>
      <c r="C493" s="1"/>
      <c r="D493" s="1"/>
      <c r="E493" s="1"/>
      <c r="F493" s="1"/>
      <c r="G493" s="3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5.75" customHeight="1" x14ac:dyDescent="0.2">
      <c r="A494" s="1"/>
      <c r="B494" s="1"/>
      <c r="C494" s="1"/>
      <c r="D494" s="1"/>
      <c r="E494" s="1"/>
      <c r="F494" s="1"/>
      <c r="G494" s="3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5.75" customHeight="1" x14ac:dyDescent="0.2">
      <c r="A495" s="1"/>
      <c r="B495" s="1"/>
      <c r="C495" s="1"/>
      <c r="D495" s="1"/>
      <c r="E495" s="1"/>
      <c r="F495" s="1"/>
      <c r="G495" s="3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5.75" customHeight="1" x14ac:dyDescent="0.2">
      <c r="A496" s="1"/>
      <c r="B496" s="1"/>
      <c r="C496" s="1"/>
      <c r="D496" s="1"/>
      <c r="E496" s="1"/>
      <c r="F496" s="1"/>
      <c r="G496" s="3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5.75" customHeight="1" x14ac:dyDescent="0.2">
      <c r="A497" s="1"/>
      <c r="B497" s="1"/>
      <c r="C497" s="1"/>
      <c r="D497" s="1"/>
      <c r="E497" s="1"/>
      <c r="F497" s="1"/>
      <c r="G497" s="3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5.75" customHeight="1" x14ac:dyDescent="0.2">
      <c r="A498" s="1"/>
      <c r="B498" s="1"/>
      <c r="C498" s="1"/>
      <c r="D498" s="1"/>
      <c r="E498" s="1"/>
      <c r="F498" s="1"/>
      <c r="G498" s="3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5.75" customHeight="1" x14ac:dyDescent="0.2">
      <c r="A499" s="1"/>
      <c r="B499" s="1"/>
      <c r="C499" s="1"/>
      <c r="D499" s="1"/>
      <c r="E499" s="1"/>
      <c r="F499" s="1"/>
      <c r="G499" s="3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5.75" customHeight="1" x14ac:dyDescent="0.2">
      <c r="A500" s="1"/>
      <c r="B500" s="1"/>
      <c r="C500" s="1"/>
      <c r="D500" s="1"/>
      <c r="E500" s="1"/>
      <c r="F500" s="1"/>
      <c r="G500" s="3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5.75" customHeight="1" x14ac:dyDescent="0.2">
      <c r="A501" s="1"/>
      <c r="B501" s="1"/>
      <c r="C501" s="1"/>
      <c r="D501" s="1"/>
      <c r="E501" s="1"/>
      <c r="F501" s="1"/>
      <c r="G501" s="3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5.75" customHeight="1" x14ac:dyDescent="0.2">
      <c r="A502" s="1"/>
      <c r="B502" s="1"/>
      <c r="C502" s="1"/>
      <c r="D502" s="1"/>
      <c r="E502" s="1"/>
      <c r="F502" s="1"/>
      <c r="G502" s="3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5.75" customHeight="1" x14ac:dyDescent="0.2">
      <c r="A503" s="1"/>
      <c r="B503" s="1"/>
      <c r="C503" s="1"/>
      <c r="D503" s="1"/>
      <c r="E503" s="1"/>
      <c r="F503" s="1"/>
      <c r="G503" s="3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5.75" customHeight="1" x14ac:dyDescent="0.2">
      <c r="A504" s="1"/>
      <c r="B504" s="1"/>
      <c r="C504" s="1"/>
      <c r="D504" s="1"/>
      <c r="E504" s="1"/>
      <c r="F504" s="1"/>
      <c r="G504" s="3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5.75" customHeight="1" x14ac:dyDescent="0.2">
      <c r="A505" s="1"/>
      <c r="B505" s="1"/>
      <c r="C505" s="1"/>
      <c r="D505" s="1"/>
      <c r="E505" s="1"/>
      <c r="F505" s="1"/>
      <c r="G505" s="3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5.75" customHeight="1" x14ac:dyDescent="0.2">
      <c r="A506" s="1"/>
      <c r="B506" s="1"/>
      <c r="C506" s="1"/>
      <c r="D506" s="1"/>
      <c r="E506" s="1"/>
      <c r="F506" s="1"/>
      <c r="G506" s="3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5.75" customHeight="1" x14ac:dyDescent="0.2">
      <c r="A507" s="1"/>
      <c r="B507" s="1"/>
      <c r="C507" s="1"/>
      <c r="D507" s="1"/>
      <c r="E507" s="1"/>
      <c r="F507" s="1"/>
      <c r="G507" s="3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5.75" customHeight="1" x14ac:dyDescent="0.2">
      <c r="A508" s="1"/>
      <c r="B508" s="1"/>
      <c r="C508" s="1"/>
      <c r="D508" s="1"/>
      <c r="E508" s="1"/>
      <c r="F508" s="1"/>
      <c r="G508" s="3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5.75" customHeight="1" x14ac:dyDescent="0.2">
      <c r="A509" s="1"/>
      <c r="B509" s="1"/>
      <c r="C509" s="1"/>
      <c r="D509" s="1"/>
      <c r="E509" s="1"/>
      <c r="F509" s="1"/>
      <c r="G509" s="3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5.75" customHeight="1" x14ac:dyDescent="0.2">
      <c r="A510" s="1"/>
      <c r="B510" s="1"/>
      <c r="C510" s="1"/>
      <c r="D510" s="1"/>
      <c r="E510" s="1"/>
      <c r="F510" s="1"/>
      <c r="G510" s="3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5.75" customHeight="1" x14ac:dyDescent="0.2">
      <c r="A511" s="1"/>
      <c r="B511" s="1"/>
      <c r="C511" s="1"/>
      <c r="D511" s="1"/>
      <c r="E511" s="1"/>
      <c r="F511" s="1"/>
      <c r="G511" s="3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5.75" customHeight="1" x14ac:dyDescent="0.2">
      <c r="A512" s="1"/>
      <c r="B512" s="1"/>
      <c r="C512" s="1"/>
      <c r="D512" s="1"/>
      <c r="E512" s="1"/>
      <c r="F512" s="1"/>
      <c r="G512" s="3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5.75" customHeight="1" x14ac:dyDescent="0.2">
      <c r="A513" s="1"/>
      <c r="B513" s="1"/>
      <c r="C513" s="1"/>
      <c r="D513" s="1"/>
      <c r="E513" s="1"/>
      <c r="F513" s="1"/>
      <c r="G513" s="3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5.75" customHeight="1" x14ac:dyDescent="0.2">
      <c r="A514" s="1"/>
      <c r="B514" s="1"/>
      <c r="C514" s="1"/>
      <c r="D514" s="1"/>
      <c r="E514" s="1"/>
      <c r="F514" s="1"/>
      <c r="G514" s="3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5.75" customHeight="1" x14ac:dyDescent="0.2">
      <c r="A515" s="1"/>
      <c r="B515" s="1"/>
      <c r="C515" s="1"/>
      <c r="D515" s="1"/>
      <c r="E515" s="1"/>
      <c r="F515" s="1"/>
      <c r="G515" s="3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5.75" customHeight="1" x14ac:dyDescent="0.2">
      <c r="A516" s="1"/>
      <c r="B516" s="1"/>
      <c r="C516" s="1"/>
      <c r="D516" s="1"/>
      <c r="E516" s="1"/>
      <c r="F516" s="1"/>
      <c r="G516" s="3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5.75" customHeight="1" x14ac:dyDescent="0.2">
      <c r="A517" s="1"/>
      <c r="B517" s="1"/>
      <c r="C517" s="1"/>
      <c r="D517" s="1"/>
      <c r="E517" s="1"/>
      <c r="F517" s="1"/>
      <c r="G517" s="3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5.75" customHeight="1" x14ac:dyDescent="0.2">
      <c r="A518" s="1"/>
      <c r="B518" s="1"/>
      <c r="C518" s="1"/>
      <c r="D518" s="1"/>
      <c r="E518" s="1"/>
      <c r="F518" s="1"/>
      <c r="G518" s="3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5.75" customHeight="1" x14ac:dyDescent="0.2">
      <c r="A519" s="1"/>
      <c r="B519" s="1"/>
      <c r="C519" s="1"/>
      <c r="D519" s="1"/>
      <c r="E519" s="1"/>
      <c r="F519" s="1"/>
      <c r="G519" s="3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5.75" customHeight="1" x14ac:dyDescent="0.2">
      <c r="A520" s="1"/>
      <c r="B520" s="1"/>
      <c r="C520" s="1"/>
      <c r="D520" s="1"/>
      <c r="E520" s="1"/>
      <c r="F520" s="1"/>
      <c r="G520" s="3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5.75" customHeight="1" x14ac:dyDescent="0.2">
      <c r="A521" s="1"/>
      <c r="B521" s="1"/>
      <c r="C521" s="1"/>
      <c r="D521" s="1"/>
      <c r="E521" s="1"/>
      <c r="F521" s="1"/>
      <c r="G521" s="3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5.75" customHeight="1" x14ac:dyDescent="0.2">
      <c r="A522" s="1"/>
      <c r="B522" s="1"/>
      <c r="C522" s="1"/>
      <c r="D522" s="1"/>
      <c r="E522" s="1"/>
      <c r="F522" s="1"/>
      <c r="G522" s="3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5.75" customHeight="1" x14ac:dyDescent="0.2">
      <c r="A523" s="1"/>
      <c r="B523" s="1"/>
      <c r="C523" s="1"/>
      <c r="D523" s="1"/>
      <c r="E523" s="1"/>
      <c r="F523" s="1"/>
      <c r="G523" s="3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5.75" customHeight="1" x14ac:dyDescent="0.2">
      <c r="A524" s="1"/>
      <c r="B524" s="1"/>
      <c r="C524" s="1"/>
      <c r="D524" s="1"/>
      <c r="E524" s="1"/>
      <c r="F524" s="1"/>
      <c r="G524" s="3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5.75" customHeight="1" x14ac:dyDescent="0.2">
      <c r="A525" s="1"/>
      <c r="B525" s="1"/>
      <c r="C525" s="1"/>
      <c r="D525" s="1"/>
      <c r="E525" s="1"/>
      <c r="F525" s="1"/>
      <c r="G525" s="3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5.75" customHeight="1" x14ac:dyDescent="0.2">
      <c r="A526" s="1"/>
      <c r="B526" s="1"/>
      <c r="C526" s="1"/>
      <c r="D526" s="1"/>
      <c r="E526" s="1"/>
      <c r="F526" s="1"/>
      <c r="G526" s="3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5.75" customHeight="1" x14ac:dyDescent="0.2">
      <c r="A527" s="1"/>
      <c r="B527" s="1"/>
      <c r="C527" s="1"/>
      <c r="D527" s="1"/>
      <c r="E527" s="1"/>
      <c r="F527" s="1"/>
      <c r="G527" s="3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5.75" customHeight="1" x14ac:dyDescent="0.2">
      <c r="A528" s="1"/>
      <c r="B528" s="1"/>
      <c r="C528" s="1"/>
      <c r="D528" s="1"/>
      <c r="E528" s="1"/>
      <c r="F528" s="1"/>
      <c r="G528" s="3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5.75" customHeight="1" x14ac:dyDescent="0.2">
      <c r="A529" s="1"/>
      <c r="B529" s="1"/>
      <c r="C529" s="1"/>
      <c r="D529" s="1"/>
      <c r="E529" s="1"/>
      <c r="F529" s="1"/>
      <c r="G529" s="3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5.75" customHeight="1" x14ac:dyDescent="0.2">
      <c r="A530" s="1"/>
      <c r="B530" s="1"/>
      <c r="C530" s="1"/>
      <c r="D530" s="1"/>
      <c r="E530" s="1"/>
      <c r="F530" s="1"/>
      <c r="G530" s="3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5.75" customHeight="1" x14ac:dyDescent="0.2">
      <c r="A531" s="1"/>
      <c r="B531" s="1"/>
      <c r="C531" s="1"/>
      <c r="D531" s="1"/>
      <c r="E531" s="1"/>
      <c r="F531" s="1"/>
      <c r="G531" s="3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5.75" customHeight="1" x14ac:dyDescent="0.2">
      <c r="A532" s="1"/>
      <c r="B532" s="1"/>
      <c r="C532" s="1"/>
      <c r="D532" s="1"/>
      <c r="E532" s="1"/>
      <c r="F532" s="1"/>
      <c r="G532" s="3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5.75" customHeight="1" x14ac:dyDescent="0.2">
      <c r="A533" s="1"/>
      <c r="B533" s="1"/>
      <c r="C533" s="1"/>
      <c r="D533" s="1"/>
      <c r="E533" s="1"/>
      <c r="F533" s="1"/>
      <c r="G533" s="3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5.75" customHeight="1" x14ac:dyDescent="0.2">
      <c r="A534" s="1"/>
      <c r="B534" s="1"/>
      <c r="C534" s="1"/>
      <c r="D534" s="1"/>
      <c r="E534" s="1"/>
      <c r="F534" s="1"/>
      <c r="G534" s="3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5.75" customHeight="1" x14ac:dyDescent="0.2">
      <c r="A535" s="1"/>
      <c r="B535" s="1"/>
      <c r="C535" s="1"/>
      <c r="D535" s="1"/>
      <c r="E535" s="1"/>
      <c r="F535" s="1"/>
      <c r="G535" s="3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5.75" customHeight="1" x14ac:dyDescent="0.2">
      <c r="A536" s="1"/>
      <c r="B536" s="1"/>
      <c r="C536" s="1"/>
      <c r="D536" s="1"/>
      <c r="E536" s="1"/>
      <c r="F536" s="1"/>
      <c r="G536" s="3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5.75" customHeight="1" x14ac:dyDescent="0.2">
      <c r="A537" s="1"/>
      <c r="B537" s="1"/>
      <c r="C537" s="1"/>
      <c r="D537" s="1"/>
      <c r="E537" s="1"/>
      <c r="F537" s="1"/>
      <c r="G537" s="3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5.75" customHeight="1" x14ac:dyDescent="0.2">
      <c r="A538" s="1"/>
      <c r="B538" s="1"/>
      <c r="C538" s="1"/>
      <c r="D538" s="1"/>
      <c r="E538" s="1"/>
      <c r="F538" s="1"/>
      <c r="G538" s="3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5.75" customHeight="1" x14ac:dyDescent="0.2">
      <c r="A539" s="1"/>
      <c r="B539" s="1"/>
      <c r="C539" s="1"/>
      <c r="D539" s="1"/>
      <c r="E539" s="1"/>
      <c r="F539" s="1"/>
      <c r="G539" s="3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5.75" customHeight="1" x14ac:dyDescent="0.2">
      <c r="A540" s="1"/>
      <c r="B540" s="1"/>
      <c r="C540" s="1"/>
      <c r="D540" s="1"/>
      <c r="E540" s="1"/>
      <c r="F540" s="1"/>
      <c r="G540" s="3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5.75" customHeight="1" x14ac:dyDescent="0.2">
      <c r="A541" s="1"/>
      <c r="B541" s="1"/>
      <c r="C541" s="1"/>
      <c r="D541" s="1"/>
      <c r="E541" s="1"/>
      <c r="F541" s="1"/>
      <c r="G541" s="3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5.75" customHeight="1" x14ac:dyDescent="0.2">
      <c r="A542" s="1"/>
      <c r="B542" s="1"/>
      <c r="C542" s="1"/>
      <c r="D542" s="1"/>
      <c r="E542" s="1"/>
      <c r="F542" s="1"/>
      <c r="G542" s="3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5.75" customHeight="1" x14ac:dyDescent="0.2">
      <c r="A543" s="1"/>
      <c r="B543" s="1"/>
      <c r="C543" s="1"/>
      <c r="D543" s="1"/>
      <c r="E543" s="1"/>
      <c r="F543" s="1"/>
      <c r="G543" s="3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5.75" customHeight="1" x14ac:dyDescent="0.2">
      <c r="A544" s="1"/>
      <c r="B544" s="1"/>
      <c r="C544" s="1"/>
      <c r="D544" s="1"/>
      <c r="E544" s="1"/>
      <c r="F544" s="1"/>
      <c r="G544" s="3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5.75" customHeight="1" x14ac:dyDescent="0.2">
      <c r="A545" s="1"/>
      <c r="B545" s="1"/>
      <c r="C545" s="1"/>
      <c r="D545" s="1"/>
      <c r="E545" s="1"/>
      <c r="F545" s="1"/>
      <c r="G545" s="3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5.75" customHeight="1" x14ac:dyDescent="0.2">
      <c r="A546" s="1"/>
      <c r="B546" s="1"/>
      <c r="C546" s="1"/>
      <c r="D546" s="1"/>
      <c r="E546" s="1"/>
      <c r="F546" s="1"/>
      <c r="G546" s="3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5.75" customHeight="1" x14ac:dyDescent="0.2">
      <c r="A547" s="1"/>
      <c r="B547" s="1"/>
      <c r="C547" s="1"/>
      <c r="D547" s="1"/>
      <c r="E547" s="1"/>
      <c r="F547" s="1"/>
      <c r="G547" s="3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5.75" customHeight="1" x14ac:dyDescent="0.2">
      <c r="A548" s="1"/>
      <c r="B548" s="1"/>
      <c r="C548" s="1"/>
      <c r="D548" s="1"/>
      <c r="E548" s="1"/>
      <c r="F548" s="1"/>
      <c r="G548" s="3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5.75" customHeight="1" x14ac:dyDescent="0.2">
      <c r="A549" s="1"/>
      <c r="B549" s="1"/>
      <c r="C549" s="1"/>
      <c r="D549" s="1"/>
      <c r="E549" s="1"/>
      <c r="F549" s="1"/>
      <c r="G549" s="3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5.75" customHeight="1" x14ac:dyDescent="0.2">
      <c r="A550" s="1"/>
      <c r="B550" s="1"/>
      <c r="C550" s="1"/>
      <c r="D550" s="1"/>
      <c r="E550" s="1"/>
      <c r="F550" s="1"/>
      <c r="G550" s="3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5.75" customHeight="1" x14ac:dyDescent="0.2">
      <c r="A551" s="1"/>
      <c r="B551" s="1"/>
      <c r="C551" s="1"/>
      <c r="D551" s="1"/>
      <c r="E551" s="1"/>
      <c r="F551" s="1"/>
      <c r="G551" s="3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5.75" customHeight="1" x14ac:dyDescent="0.2">
      <c r="A552" s="1"/>
      <c r="B552" s="1"/>
      <c r="C552" s="1"/>
      <c r="D552" s="1"/>
      <c r="E552" s="1"/>
      <c r="F552" s="1"/>
      <c r="G552" s="3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5.75" customHeight="1" x14ac:dyDescent="0.2">
      <c r="A553" s="1"/>
      <c r="B553" s="1"/>
      <c r="C553" s="1"/>
      <c r="D553" s="1"/>
      <c r="E553" s="1"/>
      <c r="F553" s="1"/>
      <c r="G553" s="3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5.75" customHeight="1" x14ac:dyDescent="0.2">
      <c r="A554" s="1"/>
      <c r="B554" s="1"/>
      <c r="C554" s="1"/>
      <c r="D554" s="1"/>
      <c r="E554" s="1"/>
      <c r="F554" s="1"/>
      <c r="G554" s="3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5.75" customHeight="1" x14ac:dyDescent="0.2">
      <c r="A555" s="1"/>
      <c r="B555" s="1"/>
      <c r="C555" s="1"/>
      <c r="D555" s="1"/>
      <c r="E555" s="1"/>
      <c r="F555" s="1"/>
      <c r="G555" s="3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5.75" customHeight="1" x14ac:dyDescent="0.2">
      <c r="A556" s="1"/>
      <c r="B556" s="1"/>
      <c r="C556" s="1"/>
      <c r="D556" s="1"/>
      <c r="E556" s="1"/>
      <c r="F556" s="1"/>
      <c r="G556" s="3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5.75" customHeight="1" x14ac:dyDescent="0.2">
      <c r="A557" s="1"/>
      <c r="B557" s="1"/>
      <c r="C557" s="1"/>
      <c r="D557" s="1"/>
      <c r="E557" s="1"/>
      <c r="F557" s="1"/>
      <c r="G557" s="3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5.75" customHeight="1" x14ac:dyDescent="0.2">
      <c r="A558" s="1"/>
      <c r="B558" s="1"/>
      <c r="C558" s="1"/>
      <c r="D558" s="1"/>
      <c r="E558" s="1"/>
      <c r="F558" s="1"/>
      <c r="G558" s="3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5.75" customHeight="1" x14ac:dyDescent="0.2">
      <c r="A559" s="1"/>
      <c r="B559" s="1"/>
      <c r="C559" s="1"/>
      <c r="D559" s="1"/>
      <c r="E559" s="1"/>
      <c r="F559" s="1"/>
      <c r="G559" s="3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5.75" customHeight="1" x14ac:dyDescent="0.2">
      <c r="A560" s="1"/>
      <c r="B560" s="1"/>
      <c r="C560" s="1"/>
      <c r="D560" s="1"/>
      <c r="E560" s="1"/>
      <c r="F560" s="1"/>
      <c r="G560" s="3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5.75" customHeight="1" x14ac:dyDescent="0.2">
      <c r="A561" s="1"/>
      <c r="B561" s="1"/>
      <c r="C561" s="1"/>
      <c r="D561" s="1"/>
      <c r="E561" s="1"/>
      <c r="F561" s="1"/>
      <c r="G561" s="3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5.75" customHeight="1" x14ac:dyDescent="0.2">
      <c r="A562" s="1"/>
      <c r="B562" s="1"/>
      <c r="C562" s="1"/>
      <c r="D562" s="1"/>
      <c r="E562" s="1"/>
      <c r="F562" s="1"/>
      <c r="G562" s="3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5.75" customHeight="1" x14ac:dyDescent="0.2">
      <c r="A563" s="1"/>
      <c r="B563" s="1"/>
      <c r="C563" s="1"/>
      <c r="D563" s="1"/>
      <c r="E563" s="1"/>
      <c r="F563" s="1"/>
      <c r="G563" s="3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5.75" customHeight="1" x14ac:dyDescent="0.2">
      <c r="A564" s="1"/>
      <c r="B564" s="1"/>
      <c r="C564" s="1"/>
      <c r="D564" s="1"/>
      <c r="E564" s="1"/>
      <c r="F564" s="1"/>
      <c r="G564" s="3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5.75" customHeight="1" x14ac:dyDescent="0.2">
      <c r="A565" s="1"/>
      <c r="B565" s="1"/>
      <c r="C565" s="1"/>
      <c r="D565" s="1"/>
      <c r="E565" s="1"/>
      <c r="F565" s="1"/>
      <c r="G565" s="3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5.75" customHeight="1" x14ac:dyDescent="0.2">
      <c r="A566" s="1"/>
      <c r="B566" s="1"/>
      <c r="C566" s="1"/>
      <c r="D566" s="1"/>
      <c r="E566" s="1"/>
      <c r="F566" s="1"/>
      <c r="G566" s="3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5.75" customHeight="1" x14ac:dyDescent="0.2">
      <c r="A567" s="1"/>
      <c r="B567" s="1"/>
      <c r="C567" s="1"/>
      <c r="D567" s="1"/>
      <c r="E567" s="1"/>
      <c r="F567" s="1"/>
      <c r="G567" s="3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5.75" customHeight="1" x14ac:dyDescent="0.2">
      <c r="A568" s="1"/>
      <c r="B568" s="1"/>
      <c r="C568" s="1"/>
      <c r="D568" s="1"/>
      <c r="E568" s="1"/>
      <c r="F568" s="1"/>
      <c r="G568" s="3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5.75" customHeight="1" x14ac:dyDescent="0.2">
      <c r="A569" s="1"/>
      <c r="B569" s="1"/>
      <c r="C569" s="1"/>
      <c r="D569" s="1"/>
      <c r="E569" s="1"/>
      <c r="F569" s="1"/>
      <c r="G569" s="3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5.75" customHeight="1" x14ac:dyDescent="0.2">
      <c r="A570" s="1"/>
      <c r="B570" s="1"/>
      <c r="C570" s="1"/>
      <c r="D570" s="1"/>
      <c r="E570" s="1"/>
      <c r="F570" s="1"/>
      <c r="G570" s="3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5.75" customHeight="1" x14ac:dyDescent="0.2">
      <c r="A571" s="1"/>
      <c r="B571" s="1"/>
      <c r="C571" s="1"/>
      <c r="D571" s="1"/>
      <c r="E571" s="1"/>
      <c r="F571" s="1"/>
      <c r="G571" s="3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5.75" customHeight="1" x14ac:dyDescent="0.2">
      <c r="A572" s="1"/>
      <c r="B572" s="1"/>
      <c r="C572" s="1"/>
      <c r="D572" s="1"/>
      <c r="E572" s="1"/>
      <c r="F572" s="1"/>
      <c r="G572" s="3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5.75" customHeight="1" x14ac:dyDescent="0.2">
      <c r="A573" s="1"/>
      <c r="B573" s="1"/>
      <c r="C573" s="1"/>
      <c r="D573" s="1"/>
      <c r="E573" s="1"/>
      <c r="F573" s="1"/>
      <c r="G573" s="3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5.75" customHeight="1" x14ac:dyDescent="0.2">
      <c r="A574" s="1"/>
      <c r="B574" s="1"/>
      <c r="C574" s="1"/>
      <c r="D574" s="1"/>
      <c r="E574" s="1"/>
      <c r="F574" s="1"/>
      <c r="G574" s="3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5.75" customHeight="1" x14ac:dyDescent="0.2">
      <c r="A575" s="1"/>
      <c r="B575" s="1"/>
      <c r="C575" s="1"/>
      <c r="D575" s="1"/>
      <c r="E575" s="1"/>
      <c r="F575" s="1"/>
      <c r="G575" s="3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5.75" customHeight="1" x14ac:dyDescent="0.2">
      <c r="A576" s="1"/>
      <c r="B576" s="1"/>
      <c r="C576" s="1"/>
      <c r="D576" s="1"/>
      <c r="E576" s="1"/>
      <c r="F576" s="1"/>
      <c r="G576" s="3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5.75" customHeight="1" x14ac:dyDescent="0.2">
      <c r="A577" s="1"/>
      <c r="B577" s="1"/>
      <c r="C577" s="1"/>
      <c r="D577" s="1"/>
      <c r="E577" s="1"/>
      <c r="F577" s="1"/>
      <c r="G577" s="3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5.75" customHeight="1" x14ac:dyDescent="0.2">
      <c r="A578" s="1"/>
      <c r="B578" s="1"/>
      <c r="C578" s="1"/>
      <c r="D578" s="1"/>
      <c r="E578" s="1"/>
      <c r="F578" s="1"/>
      <c r="G578" s="3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5.75" customHeight="1" x14ac:dyDescent="0.2">
      <c r="A579" s="1"/>
      <c r="B579" s="1"/>
      <c r="C579" s="1"/>
      <c r="D579" s="1"/>
      <c r="E579" s="1"/>
      <c r="F579" s="1"/>
      <c r="G579" s="3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5.75" customHeight="1" x14ac:dyDescent="0.2">
      <c r="A580" s="1"/>
      <c r="B580" s="1"/>
      <c r="C580" s="1"/>
      <c r="D580" s="1"/>
      <c r="E580" s="1"/>
      <c r="F580" s="1"/>
      <c r="G580" s="3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5.75" customHeight="1" x14ac:dyDescent="0.2">
      <c r="A581" s="1"/>
      <c r="B581" s="1"/>
      <c r="C581" s="1"/>
      <c r="D581" s="1"/>
      <c r="E581" s="1"/>
      <c r="F581" s="1"/>
      <c r="G581" s="3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5.75" customHeight="1" x14ac:dyDescent="0.2">
      <c r="A582" s="1"/>
      <c r="B582" s="1"/>
      <c r="C582" s="1"/>
      <c r="D582" s="1"/>
      <c r="E582" s="1"/>
      <c r="F582" s="1"/>
      <c r="G582" s="3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5.75" customHeight="1" x14ac:dyDescent="0.2">
      <c r="A583" s="1"/>
      <c r="B583" s="1"/>
      <c r="C583" s="1"/>
      <c r="D583" s="1"/>
      <c r="E583" s="1"/>
      <c r="F583" s="1"/>
      <c r="G583" s="3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5.75" customHeight="1" x14ac:dyDescent="0.2">
      <c r="A584" s="1"/>
      <c r="B584" s="1"/>
      <c r="C584" s="1"/>
      <c r="D584" s="1"/>
      <c r="E584" s="1"/>
      <c r="F584" s="1"/>
      <c r="G584" s="3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5.75" customHeight="1" x14ac:dyDescent="0.2">
      <c r="A585" s="1"/>
      <c r="B585" s="1"/>
      <c r="C585" s="1"/>
      <c r="D585" s="1"/>
      <c r="E585" s="1"/>
      <c r="F585" s="1"/>
      <c r="G585" s="3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5.75" customHeight="1" x14ac:dyDescent="0.2">
      <c r="A586" s="1"/>
      <c r="B586" s="1"/>
      <c r="C586" s="1"/>
      <c r="D586" s="1"/>
      <c r="E586" s="1"/>
      <c r="F586" s="1"/>
      <c r="G586" s="3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5.75" customHeight="1" x14ac:dyDescent="0.2">
      <c r="A587" s="1"/>
      <c r="B587" s="1"/>
      <c r="C587" s="1"/>
      <c r="D587" s="1"/>
      <c r="E587" s="1"/>
      <c r="F587" s="1"/>
      <c r="G587" s="3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5.75" customHeight="1" x14ac:dyDescent="0.2">
      <c r="A588" s="1"/>
      <c r="B588" s="1"/>
      <c r="C588" s="1"/>
      <c r="D588" s="1"/>
      <c r="E588" s="1"/>
      <c r="F588" s="1"/>
      <c r="G588" s="3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5.75" customHeight="1" x14ac:dyDescent="0.2">
      <c r="A589" s="1"/>
      <c r="B589" s="1"/>
      <c r="C589" s="1"/>
      <c r="D589" s="1"/>
      <c r="E589" s="1"/>
      <c r="F589" s="1"/>
      <c r="G589" s="3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5.75" customHeight="1" x14ac:dyDescent="0.2">
      <c r="A590" s="1"/>
      <c r="B590" s="1"/>
      <c r="C590" s="1"/>
      <c r="D590" s="1"/>
      <c r="E590" s="1"/>
      <c r="F590" s="1"/>
      <c r="G590" s="3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5.75" customHeight="1" x14ac:dyDescent="0.2">
      <c r="A591" s="1"/>
      <c r="B591" s="1"/>
      <c r="C591" s="1"/>
      <c r="D591" s="1"/>
      <c r="E591" s="1"/>
      <c r="F591" s="1"/>
      <c r="G591" s="3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5.75" customHeight="1" x14ac:dyDescent="0.2">
      <c r="A592" s="1"/>
      <c r="B592" s="1"/>
      <c r="C592" s="1"/>
      <c r="D592" s="1"/>
      <c r="E592" s="1"/>
      <c r="F592" s="1"/>
      <c r="G592" s="3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5.75" customHeight="1" x14ac:dyDescent="0.2">
      <c r="A593" s="1"/>
      <c r="B593" s="1"/>
      <c r="C593" s="1"/>
      <c r="D593" s="1"/>
      <c r="E593" s="1"/>
      <c r="F593" s="1"/>
      <c r="G593" s="3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5.75" customHeight="1" x14ac:dyDescent="0.2">
      <c r="A594" s="1"/>
      <c r="B594" s="1"/>
      <c r="C594" s="1"/>
      <c r="D594" s="1"/>
      <c r="E594" s="1"/>
      <c r="F594" s="1"/>
      <c r="G594" s="3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5.75" customHeight="1" x14ac:dyDescent="0.2">
      <c r="A595" s="1"/>
      <c r="B595" s="1"/>
      <c r="C595" s="1"/>
      <c r="D595" s="1"/>
      <c r="E595" s="1"/>
      <c r="F595" s="1"/>
      <c r="G595" s="3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5.75" customHeight="1" x14ac:dyDescent="0.2">
      <c r="A596" s="1"/>
      <c r="B596" s="1"/>
      <c r="C596" s="1"/>
      <c r="D596" s="1"/>
      <c r="E596" s="1"/>
      <c r="F596" s="1"/>
      <c r="G596" s="3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5.75" customHeight="1" x14ac:dyDescent="0.2">
      <c r="A597" s="1"/>
      <c r="B597" s="1"/>
      <c r="C597" s="1"/>
      <c r="D597" s="1"/>
      <c r="E597" s="1"/>
      <c r="F597" s="1"/>
      <c r="G597" s="3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5.75" customHeight="1" x14ac:dyDescent="0.2">
      <c r="A598" s="1"/>
      <c r="B598" s="1"/>
      <c r="C598" s="1"/>
      <c r="D598" s="1"/>
      <c r="E598" s="1"/>
      <c r="F598" s="1"/>
      <c r="G598" s="3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5.75" customHeight="1" x14ac:dyDescent="0.2">
      <c r="A599" s="1"/>
      <c r="B599" s="1"/>
      <c r="C599" s="1"/>
      <c r="D599" s="1"/>
      <c r="E599" s="1"/>
      <c r="F599" s="1"/>
      <c r="G599" s="3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5.75" customHeight="1" x14ac:dyDescent="0.2">
      <c r="A600" s="1"/>
      <c r="B600" s="1"/>
      <c r="C600" s="1"/>
      <c r="D600" s="1"/>
      <c r="E600" s="1"/>
      <c r="F600" s="1"/>
      <c r="G600" s="3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5.75" customHeight="1" x14ac:dyDescent="0.2">
      <c r="A601" s="1"/>
      <c r="B601" s="1"/>
      <c r="C601" s="1"/>
      <c r="D601" s="1"/>
      <c r="E601" s="1"/>
      <c r="F601" s="1"/>
      <c r="G601" s="3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5.75" customHeight="1" x14ac:dyDescent="0.2">
      <c r="A602" s="1"/>
      <c r="B602" s="1"/>
      <c r="C602" s="1"/>
      <c r="D602" s="1"/>
      <c r="E602" s="1"/>
      <c r="F602" s="1"/>
      <c r="G602" s="3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5.75" customHeight="1" x14ac:dyDescent="0.2">
      <c r="A603" s="1"/>
      <c r="B603" s="1"/>
      <c r="C603" s="1"/>
      <c r="D603" s="1"/>
      <c r="E603" s="1"/>
      <c r="F603" s="1"/>
      <c r="G603" s="3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5.75" customHeight="1" x14ac:dyDescent="0.2">
      <c r="A604" s="1"/>
      <c r="B604" s="1"/>
      <c r="C604" s="1"/>
      <c r="D604" s="1"/>
      <c r="E604" s="1"/>
      <c r="F604" s="1"/>
      <c r="G604" s="3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5.75" customHeight="1" x14ac:dyDescent="0.2">
      <c r="A605" s="1"/>
      <c r="B605" s="1"/>
      <c r="C605" s="1"/>
      <c r="D605" s="1"/>
      <c r="E605" s="1"/>
      <c r="F605" s="1"/>
      <c r="G605" s="3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5.75" customHeight="1" x14ac:dyDescent="0.2">
      <c r="A606" s="1"/>
      <c r="B606" s="1"/>
      <c r="C606" s="1"/>
      <c r="D606" s="1"/>
      <c r="E606" s="1"/>
      <c r="F606" s="1"/>
      <c r="G606" s="3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5.75" customHeight="1" x14ac:dyDescent="0.2">
      <c r="A607" s="1"/>
      <c r="B607" s="1"/>
      <c r="C607" s="1"/>
      <c r="D607" s="1"/>
      <c r="E607" s="1"/>
      <c r="F607" s="1"/>
      <c r="G607" s="3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5.75" customHeight="1" x14ac:dyDescent="0.2">
      <c r="A608" s="1"/>
      <c r="B608" s="1"/>
      <c r="C608" s="1"/>
      <c r="D608" s="1"/>
      <c r="E608" s="1"/>
      <c r="F608" s="1"/>
      <c r="G608" s="3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5.75" customHeight="1" x14ac:dyDescent="0.2">
      <c r="A609" s="1"/>
      <c r="B609" s="1"/>
      <c r="C609" s="1"/>
      <c r="D609" s="1"/>
      <c r="E609" s="1"/>
      <c r="F609" s="1"/>
      <c r="G609" s="3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5.75" customHeight="1" x14ac:dyDescent="0.2">
      <c r="A610" s="1"/>
      <c r="B610" s="1"/>
      <c r="C610" s="1"/>
      <c r="D610" s="1"/>
      <c r="E610" s="1"/>
      <c r="F610" s="1"/>
      <c r="G610" s="3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5.75" customHeight="1" x14ac:dyDescent="0.2">
      <c r="A611" s="1"/>
      <c r="B611" s="1"/>
      <c r="C611" s="1"/>
      <c r="D611" s="1"/>
      <c r="E611" s="1"/>
      <c r="F611" s="1"/>
      <c r="G611" s="3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5.75" customHeight="1" x14ac:dyDescent="0.2">
      <c r="A612" s="1"/>
      <c r="B612" s="1"/>
      <c r="C612" s="1"/>
      <c r="D612" s="1"/>
      <c r="E612" s="1"/>
      <c r="F612" s="1"/>
      <c r="G612" s="3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5.75" customHeight="1" x14ac:dyDescent="0.2">
      <c r="A613" s="1"/>
      <c r="B613" s="1"/>
      <c r="C613" s="1"/>
      <c r="D613" s="1"/>
      <c r="E613" s="1"/>
      <c r="F613" s="1"/>
      <c r="G613" s="3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5.75" customHeight="1" x14ac:dyDescent="0.2">
      <c r="A614" s="1"/>
      <c r="B614" s="1"/>
      <c r="C614" s="1"/>
      <c r="D614" s="1"/>
      <c r="E614" s="1"/>
      <c r="F614" s="1"/>
      <c r="G614" s="3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5.75" customHeight="1" x14ac:dyDescent="0.2">
      <c r="A615" s="1"/>
      <c r="B615" s="1"/>
      <c r="C615" s="1"/>
      <c r="D615" s="1"/>
      <c r="E615" s="1"/>
      <c r="F615" s="1"/>
      <c r="G615" s="3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5.75" customHeight="1" x14ac:dyDescent="0.2">
      <c r="A616" s="1"/>
      <c r="B616" s="1"/>
      <c r="C616" s="1"/>
      <c r="D616" s="1"/>
      <c r="E616" s="1"/>
      <c r="F616" s="1"/>
      <c r="G616" s="3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5.75" customHeight="1" x14ac:dyDescent="0.2">
      <c r="A617" s="1"/>
      <c r="B617" s="1"/>
      <c r="C617" s="1"/>
      <c r="D617" s="1"/>
      <c r="E617" s="1"/>
      <c r="F617" s="1"/>
      <c r="G617" s="3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5.75" customHeight="1" x14ac:dyDescent="0.2">
      <c r="A618" s="1"/>
      <c r="B618" s="1"/>
      <c r="C618" s="1"/>
      <c r="D618" s="1"/>
      <c r="E618" s="1"/>
      <c r="F618" s="1"/>
      <c r="G618" s="3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5.75" customHeight="1" x14ac:dyDescent="0.2">
      <c r="A619" s="1"/>
      <c r="B619" s="1"/>
      <c r="C619" s="1"/>
      <c r="D619" s="1"/>
      <c r="E619" s="1"/>
      <c r="F619" s="1"/>
      <c r="G619" s="3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5.75" customHeight="1" x14ac:dyDescent="0.2">
      <c r="A620" s="1"/>
      <c r="B620" s="1"/>
      <c r="C620" s="1"/>
      <c r="D620" s="1"/>
      <c r="E620" s="1"/>
      <c r="F620" s="1"/>
      <c r="G620" s="3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5.75" customHeight="1" x14ac:dyDescent="0.2">
      <c r="A621" s="1"/>
      <c r="B621" s="1"/>
      <c r="C621" s="1"/>
      <c r="D621" s="1"/>
      <c r="E621" s="1"/>
      <c r="F621" s="1"/>
      <c r="G621" s="3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5.75" customHeight="1" x14ac:dyDescent="0.2">
      <c r="A622" s="1"/>
      <c r="B622" s="1"/>
      <c r="C622" s="1"/>
      <c r="D622" s="1"/>
      <c r="E622" s="1"/>
      <c r="F622" s="1"/>
      <c r="G622" s="3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5.75" customHeight="1" x14ac:dyDescent="0.2">
      <c r="A623" s="1"/>
      <c r="B623" s="1"/>
      <c r="C623" s="1"/>
      <c r="D623" s="1"/>
      <c r="E623" s="1"/>
      <c r="F623" s="1"/>
      <c r="G623" s="3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5.75" customHeight="1" x14ac:dyDescent="0.2">
      <c r="A624" s="1"/>
      <c r="B624" s="1"/>
      <c r="C624" s="1"/>
      <c r="D624" s="1"/>
      <c r="E624" s="1"/>
      <c r="F624" s="1"/>
      <c r="G624" s="3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5.75" customHeight="1" x14ac:dyDescent="0.2">
      <c r="A625" s="1"/>
      <c r="B625" s="1"/>
      <c r="C625" s="1"/>
      <c r="D625" s="1"/>
      <c r="E625" s="1"/>
      <c r="F625" s="1"/>
      <c r="G625" s="3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5.75" customHeight="1" x14ac:dyDescent="0.2">
      <c r="A626" s="1"/>
      <c r="B626" s="1"/>
      <c r="C626" s="1"/>
      <c r="D626" s="1"/>
      <c r="E626" s="1"/>
      <c r="F626" s="1"/>
      <c r="G626" s="3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5.75" customHeight="1" x14ac:dyDescent="0.2">
      <c r="A627" s="1"/>
      <c r="B627" s="1"/>
      <c r="C627" s="1"/>
      <c r="D627" s="1"/>
      <c r="E627" s="1"/>
      <c r="F627" s="1"/>
      <c r="G627" s="3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5.75" customHeight="1" x14ac:dyDescent="0.2">
      <c r="A628" s="1"/>
      <c r="B628" s="1"/>
      <c r="C628" s="1"/>
      <c r="D628" s="1"/>
      <c r="E628" s="1"/>
      <c r="F628" s="1"/>
      <c r="G628" s="3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5.75" customHeight="1" x14ac:dyDescent="0.2">
      <c r="A629" s="1"/>
      <c r="B629" s="1"/>
      <c r="C629" s="1"/>
      <c r="D629" s="1"/>
      <c r="E629" s="1"/>
      <c r="F629" s="1"/>
      <c r="G629" s="3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5.75" customHeight="1" x14ac:dyDescent="0.2">
      <c r="A630" s="1"/>
      <c r="B630" s="1"/>
      <c r="C630" s="1"/>
      <c r="D630" s="1"/>
      <c r="E630" s="1"/>
      <c r="F630" s="1"/>
      <c r="G630" s="3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5.75" customHeight="1" x14ac:dyDescent="0.2">
      <c r="A631" s="1"/>
      <c r="B631" s="1"/>
      <c r="C631" s="1"/>
      <c r="D631" s="1"/>
      <c r="E631" s="1"/>
      <c r="F631" s="1"/>
      <c r="G631" s="3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5.75" customHeight="1" x14ac:dyDescent="0.2">
      <c r="A632" s="1"/>
      <c r="B632" s="1"/>
      <c r="C632" s="1"/>
      <c r="D632" s="1"/>
      <c r="E632" s="1"/>
      <c r="F632" s="1"/>
      <c r="G632" s="3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5.75" customHeight="1" x14ac:dyDescent="0.2">
      <c r="A633" s="1"/>
      <c r="B633" s="1"/>
      <c r="C633" s="1"/>
      <c r="D633" s="1"/>
      <c r="E633" s="1"/>
      <c r="F633" s="1"/>
      <c r="G633" s="3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5.75" customHeight="1" x14ac:dyDescent="0.2">
      <c r="A634" s="1"/>
      <c r="B634" s="1"/>
      <c r="C634" s="1"/>
      <c r="D634" s="1"/>
      <c r="E634" s="1"/>
      <c r="F634" s="1"/>
      <c r="G634" s="3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5.75" customHeight="1" x14ac:dyDescent="0.2">
      <c r="A635" s="1"/>
      <c r="B635" s="1"/>
      <c r="C635" s="1"/>
      <c r="D635" s="1"/>
      <c r="E635" s="1"/>
      <c r="F635" s="1"/>
      <c r="G635" s="3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5.75" customHeight="1" x14ac:dyDescent="0.2">
      <c r="A636" s="1"/>
      <c r="B636" s="1"/>
      <c r="C636" s="1"/>
      <c r="D636" s="1"/>
      <c r="E636" s="1"/>
      <c r="F636" s="1"/>
      <c r="G636" s="3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5.75" customHeight="1" x14ac:dyDescent="0.2">
      <c r="A637" s="1"/>
      <c r="B637" s="1"/>
      <c r="C637" s="1"/>
      <c r="D637" s="1"/>
      <c r="E637" s="1"/>
      <c r="F637" s="1"/>
      <c r="G637" s="3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5.75" customHeight="1" x14ac:dyDescent="0.2">
      <c r="A638" s="1"/>
      <c r="B638" s="1"/>
      <c r="C638" s="1"/>
      <c r="D638" s="1"/>
      <c r="E638" s="1"/>
      <c r="F638" s="1"/>
      <c r="G638" s="3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5.75" customHeight="1" x14ac:dyDescent="0.2">
      <c r="A639" s="1"/>
      <c r="B639" s="1"/>
      <c r="C639" s="1"/>
      <c r="D639" s="1"/>
      <c r="E639" s="1"/>
      <c r="F639" s="1"/>
      <c r="G639" s="3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5.75" customHeight="1" x14ac:dyDescent="0.2">
      <c r="A640" s="1"/>
      <c r="B640" s="1"/>
      <c r="C640" s="1"/>
      <c r="D640" s="1"/>
      <c r="E640" s="1"/>
      <c r="F640" s="1"/>
      <c r="G640" s="3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5.75" customHeight="1" x14ac:dyDescent="0.2">
      <c r="A641" s="1"/>
      <c r="B641" s="1"/>
      <c r="C641" s="1"/>
      <c r="D641" s="1"/>
      <c r="E641" s="1"/>
      <c r="F641" s="1"/>
      <c r="G641" s="3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5.75" customHeight="1" x14ac:dyDescent="0.2">
      <c r="A642" s="1"/>
      <c r="B642" s="1"/>
      <c r="C642" s="1"/>
      <c r="D642" s="1"/>
      <c r="E642" s="1"/>
      <c r="F642" s="1"/>
      <c r="G642" s="3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5.75" customHeight="1" x14ac:dyDescent="0.2">
      <c r="A643" s="1"/>
      <c r="B643" s="1"/>
      <c r="C643" s="1"/>
      <c r="D643" s="1"/>
      <c r="E643" s="1"/>
      <c r="F643" s="1"/>
      <c r="G643" s="3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5.75" customHeight="1" x14ac:dyDescent="0.2">
      <c r="A644" s="1"/>
      <c r="B644" s="1"/>
      <c r="C644" s="1"/>
      <c r="D644" s="1"/>
      <c r="E644" s="1"/>
      <c r="F644" s="1"/>
      <c r="G644" s="3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5.75" customHeight="1" x14ac:dyDescent="0.2">
      <c r="A645" s="1"/>
      <c r="B645" s="1"/>
      <c r="C645" s="1"/>
      <c r="D645" s="1"/>
      <c r="E645" s="1"/>
      <c r="F645" s="1"/>
      <c r="G645" s="3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5.75" customHeight="1" x14ac:dyDescent="0.2">
      <c r="A646" s="1"/>
      <c r="B646" s="1"/>
      <c r="C646" s="1"/>
      <c r="D646" s="1"/>
      <c r="E646" s="1"/>
      <c r="F646" s="1"/>
      <c r="G646" s="3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5.75" customHeight="1" x14ac:dyDescent="0.2">
      <c r="A647" s="1"/>
      <c r="B647" s="1"/>
      <c r="C647" s="1"/>
      <c r="D647" s="1"/>
      <c r="E647" s="1"/>
      <c r="F647" s="1"/>
      <c r="G647" s="3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5.75" customHeight="1" x14ac:dyDescent="0.2">
      <c r="A648" s="1"/>
      <c r="B648" s="1"/>
      <c r="C648" s="1"/>
      <c r="D648" s="1"/>
      <c r="E648" s="1"/>
      <c r="F648" s="1"/>
      <c r="G648" s="3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5.75" customHeight="1" x14ac:dyDescent="0.2">
      <c r="A649" s="1"/>
      <c r="B649" s="1"/>
      <c r="C649" s="1"/>
      <c r="D649" s="1"/>
      <c r="E649" s="1"/>
      <c r="F649" s="1"/>
      <c r="G649" s="3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5.75" customHeight="1" x14ac:dyDescent="0.2">
      <c r="A650" s="1"/>
      <c r="B650" s="1"/>
      <c r="C650" s="1"/>
      <c r="D650" s="1"/>
      <c r="E650" s="1"/>
      <c r="F650" s="1"/>
      <c r="G650" s="3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5.75" customHeight="1" x14ac:dyDescent="0.2">
      <c r="A651" s="1"/>
      <c r="B651" s="1"/>
      <c r="C651" s="1"/>
      <c r="D651" s="1"/>
      <c r="E651" s="1"/>
      <c r="F651" s="1"/>
      <c r="G651" s="3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5.75" customHeight="1" x14ac:dyDescent="0.2">
      <c r="A652" s="1"/>
      <c r="B652" s="1"/>
      <c r="C652" s="1"/>
      <c r="D652" s="1"/>
      <c r="E652" s="1"/>
      <c r="F652" s="1"/>
      <c r="G652" s="3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5.75" customHeight="1" x14ac:dyDescent="0.2">
      <c r="A653" s="1"/>
      <c r="B653" s="1"/>
      <c r="C653" s="1"/>
      <c r="D653" s="1"/>
      <c r="E653" s="1"/>
      <c r="F653" s="1"/>
      <c r="G653" s="3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5.75" customHeight="1" x14ac:dyDescent="0.2">
      <c r="A654" s="1"/>
      <c r="B654" s="1"/>
      <c r="C654" s="1"/>
      <c r="D654" s="1"/>
      <c r="E654" s="1"/>
      <c r="F654" s="1"/>
      <c r="G654" s="3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5.75" customHeight="1" x14ac:dyDescent="0.2">
      <c r="A655" s="1"/>
      <c r="B655" s="1"/>
      <c r="C655" s="1"/>
      <c r="D655" s="1"/>
      <c r="E655" s="1"/>
      <c r="F655" s="1"/>
      <c r="G655" s="3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5.75" customHeight="1" x14ac:dyDescent="0.2">
      <c r="A656" s="1"/>
      <c r="B656" s="1"/>
      <c r="C656" s="1"/>
      <c r="D656" s="1"/>
      <c r="E656" s="1"/>
      <c r="F656" s="1"/>
      <c r="G656" s="3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5.75" customHeight="1" x14ac:dyDescent="0.2">
      <c r="A657" s="1"/>
      <c r="B657" s="1"/>
      <c r="C657" s="1"/>
      <c r="D657" s="1"/>
      <c r="E657" s="1"/>
      <c r="F657" s="1"/>
      <c r="G657" s="3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5.75" customHeight="1" x14ac:dyDescent="0.2">
      <c r="A658" s="1"/>
      <c r="B658" s="1"/>
      <c r="C658" s="1"/>
      <c r="D658" s="1"/>
      <c r="E658" s="1"/>
      <c r="F658" s="1"/>
      <c r="G658" s="3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5.75" customHeight="1" x14ac:dyDescent="0.2">
      <c r="A659" s="1"/>
      <c r="B659" s="1"/>
      <c r="C659" s="1"/>
      <c r="D659" s="1"/>
      <c r="E659" s="1"/>
      <c r="F659" s="1"/>
      <c r="G659" s="3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5.75" customHeight="1" x14ac:dyDescent="0.2">
      <c r="A660" s="1"/>
      <c r="B660" s="1"/>
      <c r="C660" s="1"/>
      <c r="D660" s="1"/>
      <c r="E660" s="1"/>
      <c r="F660" s="1"/>
      <c r="G660" s="3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5.75" customHeight="1" x14ac:dyDescent="0.2">
      <c r="A661" s="1"/>
      <c r="B661" s="1"/>
      <c r="C661" s="1"/>
      <c r="D661" s="1"/>
      <c r="E661" s="1"/>
      <c r="F661" s="1"/>
      <c r="G661" s="3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5.75" customHeight="1" x14ac:dyDescent="0.2">
      <c r="A662" s="1"/>
      <c r="B662" s="1"/>
      <c r="C662" s="1"/>
      <c r="D662" s="1"/>
      <c r="E662" s="1"/>
      <c r="F662" s="1"/>
      <c r="G662" s="3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5.75" customHeight="1" x14ac:dyDescent="0.2">
      <c r="A663" s="1"/>
      <c r="B663" s="1"/>
      <c r="C663" s="1"/>
      <c r="D663" s="1"/>
      <c r="E663" s="1"/>
      <c r="F663" s="1"/>
      <c r="G663" s="3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5.75" customHeight="1" x14ac:dyDescent="0.2">
      <c r="A664" s="1"/>
      <c r="B664" s="1"/>
      <c r="C664" s="1"/>
      <c r="D664" s="1"/>
      <c r="E664" s="1"/>
      <c r="F664" s="1"/>
      <c r="G664" s="3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5.75" customHeight="1" x14ac:dyDescent="0.2">
      <c r="A665" s="1"/>
      <c r="B665" s="1"/>
      <c r="C665" s="1"/>
      <c r="D665" s="1"/>
      <c r="E665" s="1"/>
      <c r="F665" s="1"/>
      <c r="G665" s="3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5.75" customHeight="1" x14ac:dyDescent="0.2">
      <c r="A666" s="1"/>
      <c r="B666" s="1"/>
      <c r="C666" s="1"/>
      <c r="D666" s="1"/>
      <c r="E666" s="1"/>
      <c r="F666" s="1"/>
      <c r="G666" s="3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5.75" customHeight="1" x14ac:dyDescent="0.2">
      <c r="A667" s="1"/>
      <c r="B667" s="1"/>
      <c r="C667" s="1"/>
      <c r="D667" s="1"/>
      <c r="E667" s="1"/>
      <c r="F667" s="1"/>
      <c r="G667" s="3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5.75" customHeight="1" x14ac:dyDescent="0.2">
      <c r="A668" s="1"/>
      <c r="B668" s="1"/>
      <c r="C668" s="1"/>
      <c r="D668" s="1"/>
      <c r="E668" s="1"/>
      <c r="F668" s="1"/>
      <c r="G668" s="3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5.75" customHeight="1" x14ac:dyDescent="0.2">
      <c r="A669" s="1"/>
      <c r="B669" s="1"/>
      <c r="C669" s="1"/>
      <c r="D669" s="1"/>
      <c r="E669" s="1"/>
      <c r="F669" s="1"/>
      <c r="G669" s="3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5.75" customHeight="1" x14ac:dyDescent="0.2">
      <c r="A670" s="1"/>
      <c r="B670" s="1"/>
      <c r="C670" s="1"/>
      <c r="D670" s="1"/>
      <c r="E670" s="1"/>
      <c r="F670" s="1"/>
      <c r="G670" s="3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5.75" customHeight="1" x14ac:dyDescent="0.2">
      <c r="A671" s="1"/>
      <c r="B671" s="1"/>
      <c r="C671" s="1"/>
      <c r="D671" s="1"/>
      <c r="E671" s="1"/>
      <c r="F671" s="1"/>
      <c r="G671" s="3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5.75" customHeight="1" x14ac:dyDescent="0.2">
      <c r="A672" s="1"/>
      <c r="B672" s="1"/>
      <c r="C672" s="1"/>
      <c r="D672" s="1"/>
      <c r="E672" s="1"/>
      <c r="F672" s="1"/>
      <c r="G672" s="3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5.75" customHeight="1" x14ac:dyDescent="0.2">
      <c r="A673" s="1"/>
      <c r="B673" s="1"/>
      <c r="C673" s="1"/>
      <c r="D673" s="1"/>
      <c r="E673" s="1"/>
      <c r="F673" s="1"/>
      <c r="G673" s="3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5.75" customHeight="1" x14ac:dyDescent="0.2">
      <c r="A674" s="1"/>
      <c r="B674" s="1"/>
      <c r="C674" s="1"/>
      <c r="D674" s="1"/>
      <c r="E674" s="1"/>
      <c r="F674" s="1"/>
      <c r="G674" s="3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5.75" customHeight="1" x14ac:dyDescent="0.2">
      <c r="A675" s="1"/>
      <c r="B675" s="1"/>
      <c r="C675" s="1"/>
      <c r="D675" s="1"/>
      <c r="E675" s="1"/>
      <c r="F675" s="1"/>
      <c r="G675" s="3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5.75" customHeight="1" x14ac:dyDescent="0.2">
      <c r="A676" s="1"/>
      <c r="B676" s="1"/>
      <c r="C676" s="1"/>
      <c r="D676" s="1"/>
      <c r="E676" s="1"/>
      <c r="F676" s="1"/>
      <c r="G676" s="3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5.75" customHeight="1" x14ac:dyDescent="0.2">
      <c r="A677" s="1"/>
      <c r="B677" s="1"/>
      <c r="C677" s="1"/>
      <c r="D677" s="1"/>
      <c r="E677" s="1"/>
      <c r="F677" s="1"/>
      <c r="G677" s="3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5.75" customHeight="1" x14ac:dyDescent="0.2">
      <c r="A678" s="1"/>
      <c r="B678" s="1"/>
      <c r="C678" s="1"/>
      <c r="D678" s="1"/>
      <c r="E678" s="1"/>
      <c r="F678" s="1"/>
      <c r="G678" s="3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5.75" customHeight="1" x14ac:dyDescent="0.2">
      <c r="A679" s="1"/>
      <c r="B679" s="1"/>
      <c r="C679" s="1"/>
      <c r="D679" s="1"/>
      <c r="E679" s="1"/>
      <c r="F679" s="1"/>
      <c r="G679" s="3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5.75" customHeight="1" x14ac:dyDescent="0.2">
      <c r="A680" s="1"/>
      <c r="B680" s="1"/>
      <c r="C680" s="1"/>
      <c r="D680" s="1"/>
      <c r="E680" s="1"/>
      <c r="F680" s="1"/>
      <c r="G680" s="3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5.75" customHeight="1" x14ac:dyDescent="0.2">
      <c r="A681" s="1"/>
      <c r="B681" s="1"/>
      <c r="C681" s="1"/>
      <c r="D681" s="1"/>
      <c r="E681" s="1"/>
      <c r="F681" s="1"/>
      <c r="G681" s="3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5.75" customHeight="1" x14ac:dyDescent="0.2">
      <c r="A682" s="1"/>
      <c r="B682" s="1"/>
      <c r="C682" s="1"/>
      <c r="D682" s="1"/>
      <c r="E682" s="1"/>
      <c r="F682" s="1"/>
      <c r="G682" s="3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5.75" customHeight="1" x14ac:dyDescent="0.2">
      <c r="A683" s="1"/>
      <c r="B683" s="1"/>
      <c r="C683" s="1"/>
      <c r="D683" s="1"/>
      <c r="E683" s="1"/>
      <c r="F683" s="1"/>
      <c r="G683" s="3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5.75" customHeight="1" x14ac:dyDescent="0.2">
      <c r="A684" s="1"/>
      <c r="B684" s="1"/>
      <c r="C684" s="1"/>
      <c r="D684" s="1"/>
      <c r="E684" s="1"/>
      <c r="F684" s="1"/>
      <c r="G684" s="3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5.75" customHeight="1" x14ac:dyDescent="0.2">
      <c r="A685" s="1"/>
      <c r="B685" s="1"/>
      <c r="C685" s="1"/>
      <c r="D685" s="1"/>
      <c r="E685" s="1"/>
      <c r="F685" s="1"/>
      <c r="G685" s="3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5.75" customHeight="1" x14ac:dyDescent="0.2">
      <c r="A686" s="1"/>
      <c r="B686" s="1"/>
      <c r="C686" s="1"/>
      <c r="D686" s="1"/>
      <c r="E686" s="1"/>
      <c r="F686" s="1"/>
      <c r="G686" s="3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5.75" customHeight="1" x14ac:dyDescent="0.2">
      <c r="A687" s="1"/>
      <c r="B687" s="1"/>
      <c r="C687" s="1"/>
      <c r="D687" s="1"/>
      <c r="E687" s="1"/>
      <c r="F687" s="1"/>
      <c r="G687" s="3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5.75" customHeight="1" x14ac:dyDescent="0.2">
      <c r="A688" s="1"/>
      <c r="B688" s="1"/>
      <c r="C688" s="1"/>
      <c r="D688" s="1"/>
      <c r="E688" s="1"/>
      <c r="F688" s="1"/>
      <c r="G688" s="3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5.75" customHeight="1" x14ac:dyDescent="0.2">
      <c r="A689" s="1"/>
      <c r="B689" s="1"/>
      <c r="C689" s="1"/>
      <c r="D689" s="1"/>
      <c r="E689" s="1"/>
      <c r="F689" s="1"/>
      <c r="G689" s="3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5.75" customHeight="1" x14ac:dyDescent="0.2">
      <c r="A690" s="1"/>
      <c r="B690" s="1"/>
      <c r="C690" s="1"/>
      <c r="D690" s="1"/>
      <c r="E690" s="1"/>
      <c r="F690" s="1"/>
      <c r="G690" s="3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5.75" customHeight="1" x14ac:dyDescent="0.2">
      <c r="A691" s="1"/>
      <c r="B691" s="1"/>
      <c r="C691" s="1"/>
      <c r="D691" s="1"/>
      <c r="E691" s="1"/>
      <c r="F691" s="1"/>
      <c r="G691" s="3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5.75" customHeight="1" x14ac:dyDescent="0.2">
      <c r="A692" s="1"/>
      <c r="B692" s="1"/>
      <c r="C692" s="1"/>
      <c r="D692" s="1"/>
      <c r="E692" s="1"/>
      <c r="F692" s="1"/>
      <c r="G692" s="3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5.75" customHeight="1" x14ac:dyDescent="0.2">
      <c r="A693" s="1"/>
      <c r="B693" s="1"/>
      <c r="C693" s="1"/>
      <c r="D693" s="1"/>
      <c r="E693" s="1"/>
      <c r="F693" s="1"/>
      <c r="G693" s="3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5.75" customHeight="1" x14ac:dyDescent="0.2">
      <c r="A694" s="1"/>
      <c r="B694" s="1"/>
      <c r="C694" s="1"/>
      <c r="D694" s="1"/>
      <c r="E694" s="1"/>
      <c r="F694" s="1"/>
      <c r="G694" s="3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5.75" customHeight="1" x14ac:dyDescent="0.2">
      <c r="A695" s="1"/>
      <c r="B695" s="1"/>
      <c r="C695" s="1"/>
      <c r="D695" s="1"/>
      <c r="E695" s="1"/>
      <c r="F695" s="1"/>
      <c r="G695" s="3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5.75" customHeight="1" x14ac:dyDescent="0.2">
      <c r="A696" s="1"/>
      <c r="B696" s="1"/>
      <c r="C696" s="1"/>
      <c r="D696" s="1"/>
      <c r="E696" s="1"/>
      <c r="F696" s="1"/>
      <c r="G696" s="3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5.75" customHeight="1" x14ac:dyDescent="0.2">
      <c r="A697" s="1"/>
      <c r="B697" s="1"/>
      <c r="C697" s="1"/>
      <c r="D697" s="1"/>
      <c r="E697" s="1"/>
      <c r="F697" s="1"/>
      <c r="G697" s="3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5.75" customHeight="1" x14ac:dyDescent="0.2">
      <c r="A698" s="1"/>
      <c r="B698" s="1"/>
      <c r="C698" s="1"/>
      <c r="D698" s="1"/>
      <c r="E698" s="1"/>
      <c r="F698" s="1"/>
      <c r="G698" s="3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5.75" customHeight="1" x14ac:dyDescent="0.2">
      <c r="A699" s="1"/>
      <c r="B699" s="1"/>
      <c r="C699" s="1"/>
      <c r="D699" s="1"/>
      <c r="E699" s="1"/>
      <c r="F699" s="1"/>
      <c r="G699" s="3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5.75" customHeight="1" x14ac:dyDescent="0.2">
      <c r="A700" s="1"/>
      <c r="B700" s="1"/>
      <c r="C700" s="1"/>
      <c r="D700" s="1"/>
      <c r="E700" s="1"/>
      <c r="F700" s="1"/>
      <c r="G700" s="3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5.75" customHeight="1" x14ac:dyDescent="0.2">
      <c r="A701" s="1"/>
      <c r="B701" s="1"/>
      <c r="C701" s="1"/>
      <c r="D701" s="1"/>
      <c r="E701" s="1"/>
      <c r="F701" s="1"/>
      <c r="G701" s="3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5.75" customHeight="1" x14ac:dyDescent="0.2">
      <c r="A702" s="1"/>
      <c r="B702" s="1"/>
      <c r="C702" s="1"/>
      <c r="D702" s="1"/>
      <c r="E702" s="1"/>
      <c r="F702" s="1"/>
      <c r="G702" s="3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5.75" customHeight="1" x14ac:dyDescent="0.2">
      <c r="A703" s="1"/>
      <c r="B703" s="1"/>
      <c r="C703" s="1"/>
      <c r="D703" s="1"/>
      <c r="E703" s="1"/>
      <c r="F703" s="1"/>
      <c r="G703" s="3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5.75" customHeight="1" x14ac:dyDescent="0.2">
      <c r="A704" s="1"/>
      <c r="B704" s="1"/>
      <c r="C704" s="1"/>
      <c r="D704" s="1"/>
      <c r="E704" s="1"/>
      <c r="F704" s="1"/>
      <c r="G704" s="3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5.75" customHeight="1" x14ac:dyDescent="0.2">
      <c r="A705" s="1"/>
      <c r="B705" s="1"/>
      <c r="C705" s="1"/>
      <c r="D705" s="1"/>
      <c r="E705" s="1"/>
      <c r="F705" s="1"/>
      <c r="G705" s="3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5.75" customHeight="1" x14ac:dyDescent="0.2">
      <c r="A706" s="1"/>
      <c r="B706" s="1"/>
      <c r="C706" s="1"/>
      <c r="D706" s="1"/>
      <c r="E706" s="1"/>
      <c r="F706" s="1"/>
      <c r="G706" s="3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5.75" customHeight="1" x14ac:dyDescent="0.2">
      <c r="A707" s="1"/>
      <c r="B707" s="1"/>
      <c r="C707" s="1"/>
      <c r="D707" s="1"/>
      <c r="E707" s="1"/>
      <c r="F707" s="1"/>
      <c r="G707" s="3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5.75" customHeight="1" x14ac:dyDescent="0.2">
      <c r="A708" s="1"/>
      <c r="B708" s="1"/>
      <c r="C708" s="1"/>
      <c r="D708" s="1"/>
      <c r="E708" s="1"/>
      <c r="F708" s="1"/>
      <c r="G708" s="3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5.75" customHeight="1" x14ac:dyDescent="0.2">
      <c r="A709" s="1"/>
      <c r="B709" s="1"/>
      <c r="C709" s="1"/>
      <c r="D709" s="1"/>
      <c r="E709" s="1"/>
      <c r="F709" s="1"/>
      <c r="G709" s="3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5.75" customHeight="1" x14ac:dyDescent="0.2">
      <c r="A710" s="1"/>
      <c r="B710" s="1"/>
      <c r="C710" s="1"/>
      <c r="D710" s="1"/>
      <c r="E710" s="1"/>
      <c r="F710" s="1"/>
      <c r="G710" s="3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5.75" customHeight="1" x14ac:dyDescent="0.2">
      <c r="A711" s="1"/>
      <c r="B711" s="1"/>
      <c r="C711" s="1"/>
      <c r="D711" s="1"/>
      <c r="E711" s="1"/>
      <c r="F711" s="1"/>
      <c r="G711" s="3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5.75" customHeight="1" x14ac:dyDescent="0.2">
      <c r="A712" s="1"/>
      <c r="B712" s="1"/>
      <c r="C712" s="1"/>
      <c r="D712" s="1"/>
      <c r="E712" s="1"/>
      <c r="F712" s="1"/>
      <c r="G712" s="3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5.75" customHeight="1" x14ac:dyDescent="0.2">
      <c r="A713" s="1"/>
      <c r="B713" s="1"/>
      <c r="C713" s="1"/>
      <c r="D713" s="1"/>
      <c r="E713" s="1"/>
      <c r="F713" s="1"/>
      <c r="G713" s="3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5.75" customHeight="1" x14ac:dyDescent="0.2">
      <c r="A714" s="1"/>
      <c r="B714" s="1"/>
      <c r="C714" s="1"/>
      <c r="D714" s="1"/>
      <c r="E714" s="1"/>
      <c r="F714" s="1"/>
      <c r="G714" s="3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5.75" customHeight="1" x14ac:dyDescent="0.2">
      <c r="A715" s="1"/>
      <c r="B715" s="1"/>
      <c r="C715" s="1"/>
      <c r="D715" s="1"/>
      <c r="E715" s="1"/>
      <c r="F715" s="1"/>
      <c r="G715" s="3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5.75" customHeight="1" x14ac:dyDescent="0.2">
      <c r="A716" s="1"/>
      <c r="B716" s="1"/>
      <c r="C716" s="1"/>
      <c r="D716" s="1"/>
      <c r="E716" s="1"/>
      <c r="F716" s="1"/>
      <c r="G716" s="3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5.75" customHeight="1" x14ac:dyDescent="0.2">
      <c r="A717" s="1"/>
      <c r="B717" s="1"/>
      <c r="C717" s="1"/>
      <c r="D717" s="1"/>
      <c r="E717" s="1"/>
      <c r="F717" s="1"/>
      <c r="G717" s="3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5.75" customHeight="1" x14ac:dyDescent="0.2">
      <c r="A718" s="1"/>
      <c r="B718" s="1"/>
      <c r="C718" s="1"/>
      <c r="D718" s="1"/>
      <c r="E718" s="1"/>
      <c r="F718" s="1"/>
      <c r="G718" s="3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5.75" customHeight="1" x14ac:dyDescent="0.2">
      <c r="A719" s="1"/>
      <c r="B719" s="1"/>
      <c r="C719" s="1"/>
      <c r="D719" s="1"/>
      <c r="E719" s="1"/>
      <c r="F719" s="1"/>
      <c r="G719" s="3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5.75" customHeight="1" x14ac:dyDescent="0.2">
      <c r="A720" s="1"/>
      <c r="B720" s="1"/>
      <c r="C720" s="1"/>
      <c r="D720" s="1"/>
      <c r="E720" s="1"/>
      <c r="F720" s="1"/>
      <c r="G720" s="3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5.75" customHeight="1" x14ac:dyDescent="0.2">
      <c r="A721" s="1"/>
      <c r="B721" s="1"/>
      <c r="C721" s="1"/>
      <c r="D721" s="1"/>
      <c r="E721" s="1"/>
      <c r="F721" s="1"/>
      <c r="G721" s="3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5.75" customHeight="1" x14ac:dyDescent="0.2">
      <c r="A722" s="1"/>
      <c r="B722" s="1"/>
      <c r="C722" s="1"/>
      <c r="D722" s="1"/>
      <c r="E722" s="1"/>
      <c r="F722" s="1"/>
      <c r="G722" s="3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5.75" customHeight="1" x14ac:dyDescent="0.2">
      <c r="A723" s="1"/>
      <c r="B723" s="1"/>
      <c r="C723" s="1"/>
      <c r="D723" s="1"/>
      <c r="E723" s="1"/>
      <c r="F723" s="1"/>
      <c r="G723" s="3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5.75" customHeight="1" x14ac:dyDescent="0.2">
      <c r="A724" s="1"/>
      <c r="B724" s="1"/>
      <c r="C724" s="1"/>
      <c r="D724" s="1"/>
      <c r="E724" s="1"/>
      <c r="F724" s="1"/>
      <c r="G724" s="3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5.75" customHeight="1" x14ac:dyDescent="0.2">
      <c r="A725" s="1"/>
      <c r="B725" s="1"/>
      <c r="C725" s="1"/>
      <c r="D725" s="1"/>
      <c r="E725" s="1"/>
      <c r="F725" s="1"/>
      <c r="G725" s="3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5.75" customHeight="1" x14ac:dyDescent="0.2">
      <c r="A726" s="1"/>
      <c r="B726" s="1"/>
      <c r="C726" s="1"/>
      <c r="D726" s="1"/>
      <c r="E726" s="1"/>
      <c r="F726" s="1"/>
      <c r="G726" s="3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5.75" customHeight="1" x14ac:dyDescent="0.2">
      <c r="A727" s="1"/>
      <c r="B727" s="1"/>
      <c r="C727" s="1"/>
      <c r="D727" s="1"/>
      <c r="E727" s="1"/>
      <c r="F727" s="1"/>
      <c r="G727" s="3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5.75" customHeight="1" x14ac:dyDescent="0.2">
      <c r="A728" s="1"/>
      <c r="B728" s="1"/>
      <c r="C728" s="1"/>
      <c r="D728" s="1"/>
      <c r="E728" s="1"/>
      <c r="F728" s="1"/>
      <c r="G728" s="3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5.75" customHeight="1" x14ac:dyDescent="0.2">
      <c r="A729" s="1"/>
      <c r="B729" s="1"/>
      <c r="C729" s="1"/>
      <c r="D729" s="1"/>
      <c r="E729" s="1"/>
      <c r="F729" s="1"/>
      <c r="G729" s="3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5.75" customHeight="1" x14ac:dyDescent="0.2">
      <c r="A730" s="1"/>
      <c r="B730" s="1"/>
      <c r="C730" s="1"/>
      <c r="D730" s="1"/>
      <c r="E730" s="1"/>
      <c r="F730" s="1"/>
      <c r="G730" s="3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5.75" customHeight="1" x14ac:dyDescent="0.2">
      <c r="A731" s="1"/>
      <c r="B731" s="1"/>
      <c r="C731" s="1"/>
      <c r="D731" s="1"/>
      <c r="E731" s="1"/>
      <c r="F731" s="1"/>
      <c r="G731" s="3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5.75" customHeight="1" x14ac:dyDescent="0.2">
      <c r="A732" s="1"/>
      <c r="B732" s="1"/>
      <c r="C732" s="1"/>
      <c r="D732" s="1"/>
      <c r="E732" s="1"/>
      <c r="F732" s="1"/>
      <c r="G732" s="3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5.75" customHeight="1" x14ac:dyDescent="0.2">
      <c r="A733" s="1"/>
      <c r="B733" s="1"/>
      <c r="C733" s="1"/>
      <c r="D733" s="1"/>
      <c r="E733" s="1"/>
      <c r="F733" s="1"/>
      <c r="G733" s="3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5.75" customHeight="1" x14ac:dyDescent="0.2">
      <c r="A734" s="1"/>
      <c r="B734" s="1"/>
      <c r="C734" s="1"/>
      <c r="D734" s="1"/>
      <c r="E734" s="1"/>
      <c r="F734" s="1"/>
      <c r="G734" s="3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5.75" customHeight="1" x14ac:dyDescent="0.2">
      <c r="A735" s="1"/>
      <c r="B735" s="1"/>
      <c r="C735" s="1"/>
      <c r="D735" s="1"/>
      <c r="E735" s="1"/>
      <c r="F735" s="1"/>
      <c r="G735" s="3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5.75" customHeight="1" x14ac:dyDescent="0.2">
      <c r="A736" s="1"/>
      <c r="B736" s="1"/>
      <c r="C736" s="1"/>
      <c r="D736" s="1"/>
      <c r="E736" s="1"/>
      <c r="F736" s="1"/>
      <c r="G736" s="3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5.75" customHeight="1" x14ac:dyDescent="0.2">
      <c r="A737" s="1"/>
      <c r="B737" s="1"/>
      <c r="C737" s="1"/>
      <c r="D737" s="1"/>
      <c r="E737" s="1"/>
      <c r="F737" s="1"/>
      <c r="G737" s="3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5.75" customHeight="1" x14ac:dyDescent="0.2">
      <c r="A738" s="1"/>
      <c r="B738" s="1"/>
      <c r="C738" s="1"/>
      <c r="D738" s="1"/>
      <c r="E738" s="1"/>
      <c r="F738" s="1"/>
      <c r="G738" s="3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5.75" customHeight="1" x14ac:dyDescent="0.2">
      <c r="A739" s="1"/>
      <c r="B739" s="1"/>
      <c r="C739" s="1"/>
      <c r="D739" s="1"/>
      <c r="E739" s="1"/>
      <c r="F739" s="1"/>
      <c r="G739" s="3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5.75" customHeight="1" x14ac:dyDescent="0.2">
      <c r="A740" s="1"/>
      <c r="B740" s="1"/>
      <c r="C740" s="1"/>
      <c r="D740" s="1"/>
      <c r="E740" s="1"/>
      <c r="F740" s="1"/>
      <c r="G740" s="3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5.75" customHeight="1" x14ac:dyDescent="0.2">
      <c r="A741" s="1"/>
      <c r="B741" s="1"/>
      <c r="C741" s="1"/>
      <c r="D741" s="1"/>
      <c r="E741" s="1"/>
      <c r="F741" s="1"/>
      <c r="G741" s="3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5.75" customHeight="1" x14ac:dyDescent="0.2">
      <c r="A742" s="1"/>
      <c r="B742" s="1"/>
      <c r="C742" s="1"/>
      <c r="D742" s="1"/>
      <c r="E742" s="1"/>
      <c r="F742" s="1"/>
      <c r="G742" s="3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5.75" customHeight="1" x14ac:dyDescent="0.2">
      <c r="A743" s="1"/>
      <c r="B743" s="1"/>
      <c r="C743" s="1"/>
      <c r="D743" s="1"/>
      <c r="E743" s="1"/>
      <c r="F743" s="1"/>
      <c r="G743" s="3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5.75" customHeight="1" x14ac:dyDescent="0.2">
      <c r="A744" s="1"/>
      <c r="B744" s="1"/>
      <c r="C744" s="1"/>
      <c r="D744" s="1"/>
      <c r="E744" s="1"/>
      <c r="F744" s="1"/>
      <c r="G744" s="3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5.75" customHeight="1" x14ac:dyDescent="0.2">
      <c r="A745" s="1"/>
      <c r="B745" s="1"/>
      <c r="C745" s="1"/>
      <c r="D745" s="1"/>
      <c r="E745" s="1"/>
      <c r="F745" s="1"/>
      <c r="G745" s="3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5.75" customHeight="1" x14ac:dyDescent="0.2">
      <c r="A746" s="1"/>
      <c r="B746" s="1"/>
      <c r="C746" s="1"/>
      <c r="D746" s="1"/>
      <c r="E746" s="1"/>
      <c r="F746" s="1"/>
      <c r="G746" s="3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5.75" customHeight="1" x14ac:dyDescent="0.2">
      <c r="A747" s="1"/>
      <c r="B747" s="1"/>
      <c r="C747" s="1"/>
      <c r="D747" s="1"/>
      <c r="E747" s="1"/>
      <c r="F747" s="1"/>
      <c r="G747" s="3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5.75" customHeight="1" x14ac:dyDescent="0.2">
      <c r="A748" s="1"/>
      <c r="B748" s="1"/>
      <c r="C748" s="1"/>
      <c r="D748" s="1"/>
      <c r="E748" s="1"/>
      <c r="F748" s="1"/>
      <c r="G748" s="3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5.75" customHeight="1" x14ac:dyDescent="0.2">
      <c r="A749" s="1"/>
      <c r="B749" s="1"/>
      <c r="C749" s="1"/>
      <c r="D749" s="1"/>
      <c r="E749" s="1"/>
      <c r="F749" s="1"/>
      <c r="G749" s="3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5.75" customHeight="1" x14ac:dyDescent="0.2">
      <c r="A750" s="1"/>
      <c r="B750" s="1"/>
      <c r="C750" s="1"/>
      <c r="D750" s="1"/>
      <c r="E750" s="1"/>
      <c r="F750" s="1"/>
      <c r="G750" s="3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5.75" customHeight="1" x14ac:dyDescent="0.2">
      <c r="A751" s="1"/>
      <c r="B751" s="1"/>
      <c r="C751" s="1"/>
      <c r="D751" s="1"/>
      <c r="E751" s="1"/>
      <c r="F751" s="1"/>
      <c r="G751" s="3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5.75" customHeight="1" x14ac:dyDescent="0.2">
      <c r="A752" s="1"/>
      <c r="B752" s="1"/>
      <c r="C752" s="1"/>
      <c r="D752" s="1"/>
      <c r="E752" s="1"/>
      <c r="F752" s="1"/>
      <c r="G752" s="3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5.75" customHeight="1" x14ac:dyDescent="0.2">
      <c r="A753" s="1"/>
      <c r="B753" s="1"/>
      <c r="C753" s="1"/>
      <c r="D753" s="1"/>
      <c r="E753" s="1"/>
      <c r="F753" s="1"/>
      <c r="G753" s="3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5.75" customHeight="1" x14ac:dyDescent="0.2">
      <c r="A754" s="1"/>
      <c r="B754" s="1"/>
      <c r="C754" s="1"/>
      <c r="D754" s="1"/>
      <c r="E754" s="1"/>
      <c r="F754" s="1"/>
      <c r="G754" s="3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5.75" customHeight="1" x14ac:dyDescent="0.2">
      <c r="A755" s="1"/>
      <c r="B755" s="1"/>
      <c r="C755" s="1"/>
      <c r="D755" s="1"/>
      <c r="E755" s="1"/>
      <c r="F755" s="1"/>
      <c r="G755" s="3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5.75" customHeight="1" x14ac:dyDescent="0.2">
      <c r="A756" s="1"/>
      <c r="B756" s="1"/>
      <c r="C756" s="1"/>
      <c r="D756" s="1"/>
      <c r="E756" s="1"/>
      <c r="F756" s="1"/>
      <c r="G756" s="3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5.75" customHeight="1" x14ac:dyDescent="0.2">
      <c r="A757" s="1"/>
      <c r="B757" s="1"/>
      <c r="C757" s="1"/>
      <c r="D757" s="1"/>
      <c r="E757" s="1"/>
      <c r="F757" s="1"/>
      <c r="G757" s="3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5.75" customHeight="1" x14ac:dyDescent="0.2">
      <c r="A758" s="1"/>
      <c r="B758" s="1"/>
      <c r="C758" s="1"/>
      <c r="D758" s="1"/>
      <c r="E758" s="1"/>
      <c r="F758" s="1"/>
      <c r="G758" s="3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5.75" customHeight="1" x14ac:dyDescent="0.2">
      <c r="A759" s="1"/>
      <c r="B759" s="1"/>
      <c r="C759" s="1"/>
      <c r="D759" s="1"/>
      <c r="E759" s="1"/>
      <c r="F759" s="1"/>
      <c r="G759" s="3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5.75" customHeight="1" x14ac:dyDescent="0.2">
      <c r="A760" s="1"/>
      <c r="B760" s="1"/>
      <c r="C760" s="1"/>
      <c r="D760" s="1"/>
      <c r="E760" s="1"/>
      <c r="F760" s="1"/>
      <c r="G760" s="3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5.75" customHeight="1" x14ac:dyDescent="0.2">
      <c r="A761" s="1"/>
      <c r="B761" s="1"/>
      <c r="C761" s="1"/>
      <c r="D761" s="1"/>
      <c r="E761" s="1"/>
      <c r="F761" s="1"/>
      <c r="G761" s="3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5.75" customHeight="1" x14ac:dyDescent="0.2">
      <c r="A762" s="1"/>
      <c r="B762" s="1"/>
      <c r="C762" s="1"/>
      <c r="D762" s="1"/>
      <c r="E762" s="1"/>
      <c r="F762" s="1"/>
      <c r="G762" s="3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5.75" customHeight="1" x14ac:dyDescent="0.2">
      <c r="A763" s="1"/>
      <c r="B763" s="1"/>
      <c r="C763" s="1"/>
      <c r="D763" s="1"/>
      <c r="E763" s="1"/>
      <c r="F763" s="1"/>
      <c r="G763" s="3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5.75" customHeight="1" x14ac:dyDescent="0.2">
      <c r="A764" s="1"/>
      <c r="B764" s="1"/>
      <c r="C764" s="1"/>
      <c r="D764" s="1"/>
      <c r="E764" s="1"/>
      <c r="F764" s="1"/>
      <c r="G764" s="3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5.75" customHeight="1" x14ac:dyDescent="0.2">
      <c r="A765" s="1"/>
      <c r="B765" s="1"/>
      <c r="C765" s="1"/>
      <c r="D765" s="1"/>
      <c r="E765" s="1"/>
      <c r="F765" s="1"/>
      <c r="G765" s="3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5.75" customHeight="1" x14ac:dyDescent="0.2">
      <c r="A766" s="1"/>
      <c r="B766" s="1"/>
      <c r="C766" s="1"/>
      <c r="D766" s="1"/>
      <c r="E766" s="1"/>
      <c r="F766" s="1"/>
      <c r="G766" s="3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5.75" customHeight="1" x14ac:dyDescent="0.2">
      <c r="A767" s="1"/>
      <c r="B767" s="1"/>
      <c r="C767" s="1"/>
      <c r="D767" s="1"/>
      <c r="E767" s="1"/>
      <c r="F767" s="1"/>
      <c r="G767" s="3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5.75" customHeight="1" x14ac:dyDescent="0.2">
      <c r="A768" s="1"/>
      <c r="B768" s="1"/>
      <c r="C768" s="1"/>
      <c r="D768" s="1"/>
      <c r="E768" s="1"/>
      <c r="F768" s="1"/>
      <c r="G768" s="3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5.75" customHeight="1" x14ac:dyDescent="0.2">
      <c r="A769" s="1"/>
      <c r="B769" s="1"/>
      <c r="C769" s="1"/>
      <c r="D769" s="1"/>
      <c r="E769" s="1"/>
      <c r="F769" s="1"/>
      <c r="G769" s="3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5.75" customHeight="1" x14ac:dyDescent="0.2">
      <c r="A770" s="1"/>
      <c r="B770" s="1"/>
      <c r="C770" s="1"/>
      <c r="D770" s="1"/>
      <c r="E770" s="1"/>
      <c r="F770" s="1"/>
      <c r="G770" s="3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5.75" customHeight="1" x14ac:dyDescent="0.2">
      <c r="A771" s="1"/>
      <c r="B771" s="1"/>
      <c r="C771" s="1"/>
      <c r="D771" s="1"/>
      <c r="E771" s="1"/>
      <c r="F771" s="1"/>
      <c r="G771" s="3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5.75" customHeight="1" x14ac:dyDescent="0.2">
      <c r="A772" s="1"/>
      <c r="B772" s="1"/>
      <c r="C772" s="1"/>
      <c r="D772" s="1"/>
      <c r="E772" s="1"/>
      <c r="F772" s="1"/>
      <c r="G772" s="3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5.75" customHeight="1" x14ac:dyDescent="0.2">
      <c r="A773" s="1"/>
      <c r="B773" s="1"/>
      <c r="C773" s="1"/>
      <c r="D773" s="1"/>
      <c r="E773" s="1"/>
      <c r="F773" s="1"/>
      <c r="G773" s="3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5.75" customHeight="1" x14ac:dyDescent="0.2">
      <c r="A774" s="1"/>
      <c r="B774" s="1"/>
      <c r="C774" s="1"/>
      <c r="D774" s="1"/>
      <c r="E774" s="1"/>
      <c r="F774" s="1"/>
      <c r="G774" s="3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5.75" customHeight="1" x14ac:dyDescent="0.2">
      <c r="A775" s="1"/>
      <c r="B775" s="1"/>
      <c r="C775" s="1"/>
      <c r="D775" s="1"/>
      <c r="E775" s="1"/>
      <c r="F775" s="1"/>
      <c r="G775" s="3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5.75" customHeight="1" x14ac:dyDescent="0.2">
      <c r="A776" s="1"/>
      <c r="B776" s="1"/>
      <c r="C776" s="1"/>
      <c r="D776" s="1"/>
      <c r="E776" s="1"/>
      <c r="F776" s="1"/>
      <c r="G776" s="3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5.75" customHeight="1" x14ac:dyDescent="0.2">
      <c r="A777" s="1"/>
      <c r="B777" s="1"/>
      <c r="C777" s="1"/>
      <c r="D777" s="1"/>
      <c r="E777" s="1"/>
      <c r="F777" s="1"/>
      <c r="G777" s="3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5.75" customHeight="1" x14ac:dyDescent="0.2">
      <c r="A778" s="1"/>
      <c r="B778" s="1"/>
      <c r="C778" s="1"/>
      <c r="D778" s="1"/>
      <c r="E778" s="1"/>
      <c r="F778" s="1"/>
      <c r="G778" s="3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5.75" customHeight="1" x14ac:dyDescent="0.2">
      <c r="A779" s="1"/>
      <c r="B779" s="1"/>
      <c r="C779" s="1"/>
      <c r="D779" s="1"/>
      <c r="E779" s="1"/>
      <c r="F779" s="1"/>
      <c r="G779" s="3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5.75" customHeight="1" x14ac:dyDescent="0.2">
      <c r="A780" s="1"/>
      <c r="B780" s="1"/>
      <c r="C780" s="1"/>
      <c r="D780" s="1"/>
      <c r="E780" s="1"/>
      <c r="F780" s="1"/>
      <c r="G780" s="3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5.75" customHeight="1" x14ac:dyDescent="0.2">
      <c r="A781" s="1"/>
      <c r="B781" s="1"/>
      <c r="C781" s="1"/>
      <c r="D781" s="1"/>
      <c r="E781" s="1"/>
      <c r="F781" s="1"/>
      <c r="G781" s="3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5.75" customHeight="1" x14ac:dyDescent="0.2">
      <c r="A782" s="1"/>
      <c r="B782" s="1"/>
      <c r="C782" s="1"/>
      <c r="D782" s="1"/>
      <c r="E782" s="1"/>
      <c r="F782" s="1"/>
      <c r="G782" s="3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5.75" customHeight="1" x14ac:dyDescent="0.2">
      <c r="A783" s="1"/>
      <c r="B783" s="1"/>
      <c r="C783" s="1"/>
      <c r="D783" s="1"/>
      <c r="E783" s="1"/>
      <c r="F783" s="1"/>
      <c r="G783" s="3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5.75" customHeight="1" x14ac:dyDescent="0.2">
      <c r="A784" s="1"/>
      <c r="B784" s="1"/>
      <c r="C784" s="1"/>
      <c r="D784" s="1"/>
      <c r="E784" s="1"/>
      <c r="F784" s="1"/>
      <c r="G784" s="3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5.75" customHeight="1" x14ac:dyDescent="0.2">
      <c r="A785" s="1"/>
      <c r="B785" s="1"/>
      <c r="C785" s="1"/>
      <c r="D785" s="1"/>
      <c r="E785" s="1"/>
      <c r="F785" s="1"/>
      <c r="G785" s="3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5.75" customHeight="1" x14ac:dyDescent="0.2">
      <c r="A786" s="1"/>
      <c r="B786" s="1"/>
      <c r="C786" s="1"/>
      <c r="D786" s="1"/>
      <c r="E786" s="1"/>
      <c r="F786" s="1"/>
      <c r="G786" s="3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5.75" customHeight="1" x14ac:dyDescent="0.2">
      <c r="A787" s="1"/>
      <c r="B787" s="1"/>
      <c r="C787" s="1"/>
      <c r="D787" s="1"/>
      <c r="E787" s="1"/>
      <c r="F787" s="1"/>
      <c r="G787" s="3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5.75" customHeight="1" x14ac:dyDescent="0.2">
      <c r="A788" s="1"/>
      <c r="B788" s="1"/>
      <c r="C788" s="1"/>
      <c r="D788" s="1"/>
      <c r="E788" s="1"/>
      <c r="F788" s="1"/>
      <c r="G788" s="3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5.75" customHeight="1" x14ac:dyDescent="0.2">
      <c r="A789" s="1"/>
      <c r="B789" s="1"/>
      <c r="C789" s="1"/>
      <c r="D789" s="1"/>
      <c r="E789" s="1"/>
      <c r="F789" s="1"/>
      <c r="G789" s="3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5.75" customHeight="1" x14ac:dyDescent="0.2">
      <c r="A790" s="1"/>
      <c r="B790" s="1"/>
      <c r="C790" s="1"/>
      <c r="D790" s="1"/>
      <c r="E790" s="1"/>
      <c r="F790" s="1"/>
      <c r="G790" s="3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5.75" customHeight="1" x14ac:dyDescent="0.2">
      <c r="A791" s="1"/>
      <c r="B791" s="1"/>
      <c r="C791" s="1"/>
      <c r="D791" s="1"/>
      <c r="E791" s="1"/>
      <c r="F791" s="1"/>
      <c r="G791" s="3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5.75" customHeight="1" x14ac:dyDescent="0.2">
      <c r="A792" s="1"/>
      <c r="B792" s="1"/>
      <c r="C792" s="1"/>
      <c r="D792" s="1"/>
      <c r="E792" s="1"/>
      <c r="F792" s="1"/>
      <c r="G792" s="3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5.75" customHeight="1" x14ac:dyDescent="0.2">
      <c r="A793" s="1"/>
      <c r="B793" s="1"/>
      <c r="C793" s="1"/>
      <c r="D793" s="1"/>
      <c r="E793" s="1"/>
      <c r="F793" s="1"/>
      <c r="G793" s="3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5.75" customHeight="1" x14ac:dyDescent="0.2">
      <c r="A794" s="1"/>
      <c r="B794" s="1"/>
      <c r="C794" s="1"/>
      <c r="D794" s="1"/>
      <c r="E794" s="1"/>
      <c r="F794" s="1"/>
      <c r="G794" s="3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5.75" customHeight="1" x14ac:dyDescent="0.2">
      <c r="A795" s="1"/>
      <c r="B795" s="1"/>
      <c r="C795" s="1"/>
      <c r="D795" s="1"/>
      <c r="E795" s="1"/>
      <c r="F795" s="1"/>
      <c r="G795" s="3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5.75" customHeight="1" x14ac:dyDescent="0.2">
      <c r="A796" s="1"/>
      <c r="B796" s="1"/>
      <c r="C796" s="1"/>
      <c r="D796" s="1"/>
      <c r="E796" s="1"/>
      <c r="F796" s="1"/>
      <c r="G796" s="3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5.75" customHeight="1" x14ac:dyDescent="0.2">
      <c r="A797" s="1"/>
      <c r="B797" s="1"/>
      <c r="C797" s="1"/>
      <c r="D797" s="1"/>
      <c r="E797" s="1"/>
      <c r="F797" s="1"/>
      <c r="G797" s="3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5.75" customHeight="1" x14ac:dyDescent="0.2">
      <c r="A798" s="1"/>
      <c r="B798" s="1"/>
      <c r="C798" s="1"/>
      <c r="D798" s="1"/>
      <c r="E798" s="1"/>
      <c r="F798" s="1"/>
      <c r="G798" s="3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5.75" customHeight="1" x14ac:dyDescent="0.2">
      <c r="A799" s="1"/>
      <c r="B799" s="1"/>
      <c r="C799" s="1"/>
      <c r="D799" s="1"/>
      <c r="E799" s="1"/>
      <c r="F799" s="1"/>
      <c r="G799" s="3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5.75" customHeight="1" x14ac:dyDescent="0.2">
      <c r="A800" s="1"/>
      <c r="B800" s="1"/>
      <c r="C800" s="1"/>
      <c r="D800" s="1"/>
      <c r="E800" s="1"/>
      <c r="F800" s="1"/>
      <c r="G800" s="3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5.75" customHeight="1" x14ac:dyDescent="0.2">
      <c r="A801" s="1"/>
      <c r="B801" s="1"/>
      <c r="C801" s="1"/>
      <c r="D801" s="1"/>
      <c r="E801" s="1"/>
      <c r="F801" s="1"/>
      <c r="G801" s="3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5.75" customHeight="1" x14ac:dyDescent="0.2">
      <c r="A802" s="1"/>
      <c r="B802" s="1"/>
      <c r="C802" s="1"/>
      <c r="D802" s="1"/>
      <c r="E802" s="1"/>
      <c r="F802" s="1"/>
      <c r="G802" s="3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5.75" customHeight="1" x14ac:dyDescent="0.2">
      <c r="A803" s="1"/>
      <c r="B803" s="1"/>
      <c r="C803" s="1"/>
      <c r="D803" s="1"/>
      <c r="E803" s="1"/>
      <c r="F803" s="1"/>
      <c r="G803" s="3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5.75" customHeight="1" x14ac:dyDescent="0.2">
      <c r="A804" s="1"/>
      <c r="B804" s="1"/>
      <c r="C804" s="1"/>
      <c r="D804" s="1"/>
      <c r="E804" s="1"/>
      <c r="F804" s="1"/>
      <c r="G804" s="3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5.75" customHeight="1" x14ac:dyDescent="0.2">
      <c r="A805" s="1"/>
      <c r="B805" s="1"/>
      <c r="C805" s="1"/>
      <c r="D805" s="1"/>
      <c r="E805" s="1"/>
      <c r="F805" s="1"/>
      <c r="G805" s="3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5.75" customHeight="1" x14ac:dyDescent="0.2">
      <c r="A806" s="1"/>
      <c r="B806" s="1"/>
      <c r="C806" s="1"/>
      <c r="D806" s="1"/>
      <c r="E806" s="1"/>
      <c r="F806" s="1"/>
      <c r="G806" s="3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5.75" customHeight="1" x14ac:dyDescent="0.2">
      <c r="A807" s="1"/>
      <c r="B807" s="1"/>
      <c r="C807" s="1"/>
      <c r="D807" s="1"/>
      <c r="E807" s="1"/>
      <c r="F807" s="1"/>
      <c r="G807" s="3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5.75" customHeight="1" x14ac:dyDescent="0.2">
      <c r="A808" s="1"/>
      <c r="B808" s="1"/>
      <c r="C808" s="1"/>
      <c r="D808" s="1"/>
      <c r="E808" s="1"/>
      <c r="F808" s="1"/>
      <c r="G808" s="3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5.75" customHeight="1" x14ac:dyDescent="0.2">
      <c r="A809" s="1"/>
      <c r="B809" s="1"/>
      <c r="C809" s="1"/>
      <c r="D809" s="1"/>
      <c r="E809" s="1"/>
      <c r="F809" s="1"/>
      <c r="G809" s="3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5.75" customHeight="1" x14ac:dyDescent="0.2">
      <c r="A810" s="1"/>
      <c r="B810" s="1"/>
      <c r="C810" s="1"/>
      <c r="D810" s="1"/>
      <c r="E810" s="1"/>
      <c r="F810" s="1"/>
      <c r="G810" s="3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5.75" customHeight="1" x14ac:dyDescent="0.2">
      <c r="A811" s="1"/>
      <c r="B811" s="1"/>
      <c r="C811" s="1"/>
      <c r="D811" s="1"/>
      <c r="E811" s="1"/>
      <c r="F811" s="1"/>
      <c r="G811" s="3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5.75" customHeight="1" x14ac:dyDescent="0.2">
      <c r="A812" s="1"/>
      <c r="B812" s="1"/>
      <c r="C812" s="1"/>
      <c r="D812" s="1"/>
      <c r="E812" s="1"/>
      <c r="F812" s="1"/>
      <c r="G812" s="3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5.75" customHeight="1" x14ac:dyDescent="0.2">
      <c r="A813" s="1"/>
      <c r="B813" s="1"/>
      <c r="C813" s="1"/>
      <c r="D813" s="1"/>
      <c r="E813" s="1"/>
      <c r="F813" s="1"/>
      <c r="G813" s="3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5.75" customHeight="1" x14ac:dyDescent="0.2">
      <c r="A814" s="1"/>
      <c r="B814" s="1"/>
      <c r="C814" s="1"/>
      <c r="D814" s="1"/>
      <c r="E814" s="1"/>
      <c r="F814" s="1"/>
      <c r="G814" s="3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5.75" customHeight="1" x14ac:dyDescent="0.2">
      <c r="A815" s="1"/>
      <c r="B815" s="1"/>
      <c r="C815" s="1"/>
      <c r="D815" s="1"/>
      <c r="E815" s="1"/>
      <c r="F815" s="1"/>
      <c r="G815" s="3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5.75" customHeight="1" x14ac:dyDescent="0.2">
      <c r="A816" s="1"/>
      <c r="B816" s="1"/>
      <c r="C816" s="1"/>
      <c r="D816" s="1"/>
      <c r="E816" s="1"/>
      <c r="F816" s="1"/>
      <c r="G816" s="3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5.75" customHeight="1" x14ac:dyDescent="0.2">
      <c r="A817" s="1"/>
      <c r="B817" s="1"/>
      <c r="C817" s="1"/>
      <c r="D817" s="1"/>
      <c r="E817" s="1"/>
      <c r="F817" s="1"/>
      <c r="G817" s="3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5.75" customHeight="1" x14ac:dyDescent="0.2">
      <c r="A818" s="1"/>
      <c r="B818" s="1"/>
      <c r="C818" s="1"/>
      <c r="D818" s="1"/>
      <c r="E818" s="1"/>
      <c r="F818" s="1"/>
      <c r="G818" s="3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5.75" customHeight="1" x14ac:dyDescent="0.2">
      <c r="A819" s="1"/>
      <c r="B819" s="1"/>
      <c r="C819" s="1"/>
      <c r="D819" s="1"/>
      <c r="E819" s="1"/>
      <c r="F819" s="1"/>
      <c r="G819" s="3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5.75" customHeight="1" x14ac:dyDescent="0.2">
      <c r="A820" s="1"/>
      <c r="B820" s="1"/>
      <c r="C820" s="1"/>
      <c r="D820" s="1"/>
      <c r="E820" s="1"/>
      <c r="F820" s="1"/>
      <c r="G820" s="3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5.75" customHeight="1" x14ac:dyDescent="0.2">
      <c r="A821" s="1"/>
      <c r="B821" s="1"/>
      <c r="C821" s="1"/>
      <c r="D821" s="1"/>
      <c r="E821" s="1"/>
      <c r="F821" s="1"/>
      <c r="G821" s="3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5.75" customHeight="1" x14ac:dyDescent="0.2">
      <c r="A822" s="1"/>
      <c r="B822" s="1"/>
      <c r="C822" s="1"/>
      <c r="D822" s="1"/>
      <c r="E822" s="1"/>
      <c r="F822" s="1"/>
      <c r="G822" s="3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5.75" customHeight="1" x14ac:dyDescent="0.2">
      <c r="A823" s="1"/>
      <c r="B823" s="1"/>
      <c r="C823" s="1"/>
      <c r="D823" s="1"/>
      <c r="E823" s="1"/>
      <c r="F823" s="1"/>
      <c r="G823" s="3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5.75" customHeight="1" x14ac:dyDescent="0.2">
      <c r="A824" s="1"/>
      <c r="B824" s="1"/>
      <c r="C824" s="1"/>
      <c r="D824" s="1"/>
      <c r="E824" s="1"/>
      <c r="F824" s="1"/>
      <c r="G824" s="3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5.75" customHeight="1" x14ac:dyDescent="0.2">
      <c r="A825" s="1"/>
      <c r="B825" s="1"/>
      <c r="C825" s="1"/>
      <c r="D825" s="1"/>
      <c r="E825" s="1"/>
      <c r="F825" s="1"/>
      <c r="G825" s="3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5.75" customHeight="1" x14ac:dyDescent="0.2">
      <c r="A826" s="1"/>
      <c r="B826" s="1"/>
      <c r="C826" s="1"/>
      <c r="D826" s="1"/>
      <c r="E826" s="1"/>
      <c r="F826" s="1"/>
      <c r="G826" s="3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5.75" customHeight="1" x14ac:dyDescent="0.2">
      <c r="A827" s="1"/>
      <c r="B827" s="1"/>
      <c r="C827" s="1"/>
      <c r="D827" s="1"/>
      <c r="E827" s="1"/>
      <c r="F827" s="1"/>
      <c r="G827" s="3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5.75" customHeight="1" x14ac:dyDescent="0.2">
      <c r="A828" s="1"/>
      <c r="B828" s="1"/>
      <c r="C828" s="1"/>
      <c r="D828" s="1"/>
      <c r="E828" s="1"/>
      <c r="F828" s="1"/>
      <c r="G828" s="3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5.75" customHeight="1" x14ac:dyDescent="0.2">
      <c r="A829" s="1"/>
      <c r="B829" s="1"/>
      <c r="C829" s="1"/>
      <c r="D829" s="1"/>
      <c r="E829" s="1"/>
      <c r="F829" s="1"/>
      <c r="G829" s="3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5.75" customHeight="1" x14ac:dyDescent="0.2">
      <c r="A830" s="1"/>
      <c r="B830" s="1"/>
      <c r="C830" s="1"/>
      <c r="D830" s="1"/>
      <c r="E830" s="1"/>
      <c r="F830" s="1"/>
      <c r="G830" s="3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5.75" customHeight="1" x14ac:dyDescent="0.2">
      <c r="A831" s="1"/>
      <c r="B831" s="1"/>
      <c r="C831" s="1"/>
      <c r="D831" s="1"/>
      <c r="E831" s="1"/>
      <c r="F831" s="1"/>
      <c r="G831" s="3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5.75" customHeight="1" x14ac:dyDescent="0.2">
      <c r="A832" s="1"/>
      <c r="B832" s="1"/>
      <c r="C832" s="1"/>
      <c r="D832" s="1"/>
      <c r="E832" s="1"/>
      <c r="F832" s="1"/>
      <c r="G832" s="3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5.75" customHeight="1" x14ac:dyDescent="0.2">
      <c r="A833" s="1"/>
      <c r="B833" s="1"/>
      <c r="C833" s="1"/>
      <c r="D833" s="1"/>
      <c r="E833" s="1"/>
      <c r="F833" s="1"/>
      <c r="G833" s="3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5.75" customHeight="1" x14ac:dyDescent="0.2">
      <c r="A834" s="1"/>
      <c r="B834" s="1"/>
      <c r="C834" s="1"/>
      <c r="D834" s="1"/>
      <c r="E834" s="1"/>
      <c r="F834" s="1"/>
      <c r="G834" s="3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5.75" customHeight="1" x14ac:dyDescent="0.2">
      <c r="A835" s="1"/>
      <c r="B835" s="1"/>
      <c r="C835" s="1"/>
      <c r="D835" s="1"/>
      <c r="E835" s="1"/>
      <c r="F835" s="1"/>
      <c r="G835" s="3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5.75" customHeight="1" x14ac:dyDescent="0.2">
      <c r="A836" s="1"/>
      <c r="B836" s="1"/>
      <c r="C836" s="1"/>
      <c r="D836" s="1"/>
      <c r="E836" s="1"/>
      <c r="F836" s="1"/>
      <c r="G836" s="3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5.75" customHeight="1" x14ac:dyDescent="0.2">
      <c r="A837" s="1"/>
      <c r="B837" s="1"/>
      <c r="C837" s="1"/>
      <c r="D837" s="1"/>
      <c r="E837" s="1"/>
      <c r="F837" s="1"/>
      <c r="G837" s="3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5.75" customHeight="1" x14ac:dyDescent="0.2">
      <c r="A838" s="1"/>
      <c r="B838" s="1"/>
      <c r="C838" s="1"/>
      <c r="D838" s="1"/>
      <c r="E838" s="1"/>
      <c r="F838" s="1"/>
      <c r="G838" s="3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5.75" customHeight="1" x14ac:dyDescent="0.2">
      <c r="A839" s="1"/>
      <c r="B839" s="1"/>
      <c r="C839" s="1"/>
      <c r="D839" s="1"/>
      <c r="E839" s="1"/>
      <c r="F839" s="1"/>
      <c r="G839" s="3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5.75" customHeight="1" x14ac:dyDescent="0.2">
      <c r="A840" s="1"/>
      <c r="B840" s="1"/>
      <c r="C840" s="1"/>
      <c r="D840" s="1"/>
      <c r="E840" s="1"/>
      <c r="F840" s="1"/>
      <c r="G840" s="3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5.75" customHeight="1" x14ac:dyDescent="0.2">
      <c r="A841" s="1"/>
      <c r="B841" s="1"/>
      <c r="C841" s="1"/>
      <c r="D841" s="1"/>
      <c r="E841" s="1"/>
      <c r="F841" s="1"/>
      <c r="G841" s="3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5.75" customHeight="1" x14ac:dyDescent="0.2">
      <c r="A842" s="1"/>
      <c r="B842" s="1"/>
      <c r="C842" s="1"/>
      <c r="D842" s="1"/>
      <c r="E842" s="1"/>
      <c r="F842" s="1"/>
      <c r="G842" s="3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5.75" customHeight="1" x14ac:dyDescent="0.2">
      <c r="A843" s="1"/>
      <c r="B843" s="1"/>
      <c r="C843" s="1"/>
      <c r="D843" s="1"/>
      <c r="E843" s="1"/>
      <c r="F843" s="1"/>
      <c r="G843" s="3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5.75" customHeight="1" x14ac:dyDescent="0.2">
      <c r="A844" s="1"/>
      <c r="B844" s="1"/>
      <c r="C844" s="1"/>
      <c r="D844" s="1"/>
      <c r="E844" s="1"/>
      <c r="F844" s="1"/>
      <c r="G844" s="3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5.75" customHeight="1" x14ac:dyDescent="0.2">
      <c r="A845" s="1"/>
      <c r="B845" s="1"/>
      <c r="C845" s="1"/>
      <c r="D845" s="1"/>
      <c r="E845" s="1"/>
      <c r="F845" s="1"/>
      <c r="G845" s="3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5.75" customHeight="1" x14ac:dyDescent="0.2">
      <c r="A846" s="1"/>
      <c r="B846" s="1"/>
      <c r="C846" s="1"/>
      <c r="D846" s="1"/>
      <c r="E846" s="1"/>
      <c r="F846" s="1"/>
      <c r="G846" s="3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5.75" customHeight="1" x14ac:dyDescent="0.2">
      <c r="A847" s="1"/>
      <c r="B847" s="1"/>
      <c r="C847" s="1"/>
      <c r="D847" s="1"/>
      <c r="E847" s="1"/>
      <c r="F847" s="1"/>
      <c r="G847" s="3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5.75" customHeight="1" x14ac:dyDescent="0.2">
      <c r="A848" s="1"/>
      <c r="B848" s="1"/>
      <c r="C848" s="1"/>
      <c r="D848" s="1"/>
      <c r="E848" s="1"/>
      <c r="F848" s="1"/>
      <c r="G848" s="3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5.75" customHeight="1" x14ac:dyDescent="0.2">
      <c r="A849" s="1"/>
      <c r="B849" s="1"/>
      <c r="C849" s="1"/>
      <c r="D849" s="1"/>
      <c r="E849" s="1"/>
      <c r="F849" s="1"/>
      <c r="G849" s="3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5.75" customHeight="1" x14ac:dyDescent="0.2">
      <c r="A850" s="1"/>
      <c r="B850" s="1"/>
      <c r="C850" s="1"/>
      <c r="D850" s="1"/>
      <c r="E850" s="1"/>
      <c r="F850" s="1"/>
      <c r="G850" s="3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5.75" customHeight="1" x14ac:dyDescent="0.2">
      <c r="A851" s="1"/>
      <c r="B851" s="1"/>
      <c r="C851" s="1"/>
      <c r="D851" s="1"/>
      <c r="E851" s="1"/>
      <c r="F851" s="1"/>
      <c r="G851" s="3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5.75" customHeight="1" x14ac:dyDescent="0.2">
      <c r="A852" s="1"/>
      <c r="B852" s="1"/>
      <c r="C852" s="1"/>
      <c r="D852" s="1"/>
      <c r="E852" s="1"/>
      <c r="F852" s="1"/>
      <c r="G852" s="3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5.75" customHeight="1" x14ac:dyDescent="0.2">
      <c r="A853" s="1"/>
      <c r="B853" s="1"/>
      <c r="C853" s="1"/>
      <c r="D853" s="1"/>
      <c r="E853" s="1"/>
      <c r="F853" s="1"/>
      <c r="G853" s="3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5.75" customHeight="1" x14ac:dyDescent="0.2">
      <c r="A854" s="1"/>
      <c r="B854" s="1"/>
      <c r="C854" s="1"/>
      <c r="D854" s="1"/>
      <c r="E854" s="1"/>
      <c r="F854" s="1"/>
      <c r="G854" s="3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5.75" customHeight="1" x14ac:dyDescent="0.2">
      <c r="A855" s="1"/>
      <c r="B855" s="1"/>
      <c r="C855" s="1"/>
      <c r="D855" s="1"/>
      <c r="E855" s="1"/>
      <c r="F855" s="1"/>
      <c r="G855" s="3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5.75" customHeight="1" x14ac:dyDescent="0.2">
      <c r="A856" s="1"/>
      <c r="B856" s="1"/>
      <c r="C856" s="1"/>
      <c r="D856" s="1"/>
      <c r="E856" s="1"/>
      <c r="F856" s="1"/>
      <c r="G856" s="3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5.75" customHeight="1" x14ac:dyDescent="0.2">
      <c r="A857" s="1"/>
      <c r="B857" s="1"/>
      <c r="C857" s="1"/>
      <c r="D857" s="1"/>
      <c r="E857" s="1"/>
      <c r="F857" s="1"/>
      <c r="G857" s="3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5.75" customHeight="1" x14ac:dyDescent="0.2">
      <c r="A858" s="1"/>
      <c r="B858" s="1"/>
      <c r="C858" s="1"/>
      <c r="D858" s="1"/>
      <c r="E858" s="1"/>
      <c r="F858" s="1"/>
      <c r="G858" s="3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5.75" customHeight="1" x14ac:dyDescent="0.2">
      <c r="A859" s="1"/>
      <c r="B859" s="1"/>
      <c r="C859" s="1"/>
      <c r="D859" s="1"/>
      <c r="E859" s="1"/>
      <c r="F859" s="1"/>
      <c r="G859" s="3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5.75" customHeight="1" x14ac:dyDescent="0.2">
      <c r="A860" s="1"/>
      <c r="B860" s="1"/>
      <c r="C860" s="1"/>
      <c r="D860" s="1"/>
      <c r="E860" s="1"/>
      <c r="F860" s="1"/>
      <c r="G860" s="3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5.75" customHeight="1" x14ac:dyDescent="0.2">
      <c r="A861" s="1"/>
      <c r="B861" s="1"/>
      <c r="C861" s="1"/>
      <c r="D861" s="1"/>
      <c r="E861" s="1"/>
      <c r="F861" s="1"/>
      <c r="G861" s="3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5.75" customHeight="1" x14ac:dyDescent="0.2">
      <c r="A862" s="1"/>
      <c r="B862" s="1"/>
      <c r="C862" s="1"/>
      <c r="D862" s="1"/>
      <c r="E862" s="1"/>
      <c r="F862" s="1"/>
      <c r="G862" s="3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5.75" customHeight="1" x14ac:dyDescent="0.2">
      <c r="A863" s="1"/>
      <c r="B863" s="1"/>
      <c r="C863" s="1"/>
      <c r="D863" s="1"/>
      <c r="E863" s="1"/>
      <c r="F863" s="1"/>
      <c r="G863" s="3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5.75" customHeight="1" x14ac:dyDescent="0.2">
      <c r="A864" s="1"/>
      <c r="B864" s="1"/>
      <c r="C864" s="1"/>
      <c r="D864" s="1"/>
      <c r="E864" s="1"/>
      <c r="F864" s="1"/>
      <c r="G864" s="3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5.75" customHeight="1" x14ac:dyDescent="0.2">
      <c r="A865" s="1"/>
      <c r="B865" s="1"/>
      <c r="C865" s="1"/>
      <c r="D865" s="1"/>
      <c r="E865" s="1"/>
      <c r="F865" s="1"/>
      <c r="G865" s="3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5.75" customHeight="1" x14ac:dyDescent="0.2">
      <c r="A866" s="1"/>
      <c r="B866" s="1"/>
      <c r="C866" s="1"/>
      <c r="D866" s="1"/>
      <c r="E866" s="1"/>
      <c r="F866" s="1"/>
      <c r="G866" s="3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5.75" customHeight="1" x14ac:dyDescent="0.2">
      <c r="A867" s="1"/>
      <c r="B867" s="1"/>
      <c r="C867" s="1"/>
      <c r="D867" s="1"/>
      <c r="E867" s="1"/>
      <c r="F867" s="1"/>
      <c r="G867" s="3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5.75" customHeight="1" x14ac:dyDescent="0.2">
      <c r="A868" s="1"/>
      <c r="B868" s="1"/>
      <c r="C868" s="1"/>
      <c r="D868" s="1"/>
      <c r="E868" s="1"/>
      <c r="F868" s="1"/>
      <c r="G868" s="3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5.75" customHeight="1" x14ac:dyDescent="0.2">
      <c r="A869" s="1"/>
      <c r="B869" s="1"/>
      <c r="C869" s="1"/>
      <c r="D869" s="1"/>
      <c r="E869" s="1"/>
      <c r="F869" s="1"/>
      <c r="G869" s="3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5.75" customHeight="1" x14ac:dyDescent="0.2">
      <c r="A870" s="1"/>
      <c r="B870" s="1"/>
      <c r="C870" s="1"/>
      <c r="D870" s="1"/>
      <c r="E870" s="1"/>
      <c r="F870" s="1"/>
      <c r="G870" s="3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5.75" customHeight="1" x14ac:dyDescent="0.2">
      <c r="A871" s="1"/>
      <c r="B871" s="1"/>
      <c r="C871" s="1"/>
      <c r="D871" s="1"/>
      <c r="E871" s="1"/>
      <c r="F871" s="1"/>
      <c r="G871" s="3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5.75" customHeight="1" x14ac:dyDescent="0.2">
      <c r="A872" s="1"/>
      <c r="B872" s="1"/>
      <c r="C872" s="1"/>
      <c r="D872" s="1"/>
      <c r="E872" s="1"/>
      <c r="F872" s="1"/>
      <c r="G872" s="3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5.75" customHeight="1" x14ac:dyDescent="0.2">
      <c r="A873" s="1"/>
      <c r="B873" s="1"/>
      <c r="C873" s="1"/>
      <c r="D873" s="1"/>
      <c r="E873" s="1"/>
      <c r="F873" s="1"/>
      <c r="G873" s="3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5.75" customHeight="1" x14ac:dyDescent="0.2">
      <c r="A874" s="1"/>
      <c r="B874" s="1"/>
      <c r="C874" s="1"/>
      <c r="D874" s="1"/>
      <c r="E874" s="1"/>
      <c r="F874" s="1"/>
      <c r="G874" s="3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5.75" customHeight="1" x14ac:dyDescent="0.2">
      <c r="A875" s="1"/>
      <c r="B875" s="1"/>
      <c r="C875" s="1"/>
      <c r="D875" s="1"/>
      <c r="E875" s="1"/>
      <c r="F875" s="1"/>
      <c r="G875" s="3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5.75" customHeight="1" x14ac:dyDescent="0.2">
      <c r="A876" s="1"/>
      <c r="B876" s="1"/>
      <c r="C876" s="1"/>
      <c r="D876" s="1"/>
      <c r="E876" s="1"/>
      <c r="F876" s="1"/>
      <c r="G876" s="3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5.75" customHeight="1" x14ac:dyDescent="0.2">
      <c r="A877" s="1"/>
      <c r="B877" s="1"/>
      <c r="C877" s="1"/>
      <c r="D877" s="1"/>
      <c r="E877" s="1"/>
      <c r="F877" s="1"/>
      <c r="G877" s="3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5.75" customHeight="1" x14ac:dyDescent="0.2">
      <c r="A878" s="1"/>
      <c r="B878" s="1"/>
      <c r="C878" s="1"/>
      <c r="D878" s="1"/>
      <c r="E878" s="1"/>
      <c r="F878" s="1"/>
      <c r="G878" s="3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5.75" customHeight="1" x14ac:dyDescent="0.2">
      <c r="A879" s="1"/>
      <c r="B879" s="1"/>
      <c r="C879" s="1"/>
      <c r="D879" s="1"/>
      <c r="E879" s="1"/>
      <c r="F879" s="1"/>
      <c r="G879" s="3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5.75" customHeight="1" x14ac:dyDescent="0.2">
      <c r="A880" s="1"/>
      <c r="B880" s="1"/>
      <c r="C880" s="1"/>
      <c r="D880" s="1"/>
      <c r="E880" s="1"/>
      <c r="F880" s="1"/>
      <c r="G880" s="3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5.75" customHeight="1" x14ac:dyDescent="0.2">
      <c r="A881" s="1"/>
      <c r="B881" s="1"/>
      <c r="C881" s="1"/>
      <c r="D881" s="1"/>
      <c r="E881" s="1"/>
      <c r="F881" s="1"/>
      <c r="G881" s="3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5.75" customHeight="1" x14ac:dyDescent="0.2">
      <c r="A882" s="1"/>
      <c r="B882" s="1"/>
      <c r="C882" s="1"/>
      <c r="D882" s="1"/>
      <c r="E882" s="1"/>
      <c r="F882" s="1"/>
      <c r="G882" s="3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5.75" customHeight="1" x14ac:dyDescent="0.2">
      <c r="A883" s="1"/>
      <c r="B883" s="1"/>
      <c r="C883" s="1"/>
      <c r="D883" s="1"/>
      <c r="E883" s="1"/>
      <c r="F883" s="1"/>
      <c r="G883" s="3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5.75" customHeight="1" x14ac:dyDescent="0.2">
      <c r="A884" s="1"/>
      <c r="B884" s="1"/>
      <c r="C884" s="1"/>
      <c r="D884" s="1"/>
      <c r="E884" s="1"/>
      <c r="F884" s="1"/>
      <c r="G884" s="3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5.75" customHeight="1" x14ac:dyDescent="0.2">
      <c r="A885" s="1"/>
      <c r="B885" s="1"/>
      <c r="C885" s="1"/>
      <c r="D885" s="1"/>
      <c r="E885" s="1"/>
      <c r="F885" s="1"/>
      <c r="G885" s="3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5.75" customHeight="1" x14ac:dyDescent="0.2">
      <c r="A886" s="1"/>
      <c r="B886" s="1"/>
      <c r="C886" s="1"/>
      <c r="D886" s="1"/>
      <c r="E886" s="1"/>
      <c r="F886" s="1"/>
      <c r="G886" s="3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5.75" customHeight="1" x14ac:dyDescent="0.2">
      <c r="A887" s="1"/>
      <c r="B887" s="1"/>
      <c r="C887" s="1"/>
      <c r="D887" s="1"/>
      <c r="E887" s="1"/>
      <c r="F887" s="1"/>
      <c r="G887" s="3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5.75" customHeight="1" x14ac:dyDescent="0.2">
      <c r="A888" s="1"/>
      <c r="B888" s="1"/>
      <c r="C888" s="1"/>
      <c r="D888" s="1"/>
      <c r="E888" s="1"/>
      <c r="F888" s="1"/>
      <c r="G888" s="3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5.75" customHeight="1" x14ac:dyDescent="0.2">
      <c r="A889" s="1"/>
      <c r="B889" s="1"/>
      <c r="C889" s="1"/>
      <c r="D889" s="1"/>
      <c r="E889" s="1"/>
      <c r="F889" s="1"/>
      <c r="G889" s="3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5.75" customHeight="1" x14ac:dyDescent="0.2">
      <c r="A890" s="1"/>
      <c r="B890" s="1"/>
      <c r="C890" s="1"/>
      <c r="D890" s="1"/>
      <c r="E890" s="1"/>
      <c r="F890" s="1"/>
      <c r="G890" s="3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5.75" customHeight="1" x14ac:dyDescent="0.2">
      <c r="A891" s="1"/>
      <c r="B891" s="1"/>
      <c r="C891" s="1"/>
      <c r="D891" s="1"/>
      <c r="E891" s="1"/>
      <c r="F891" s="1"/>
      <c r="G891" s="3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5.75" customHeight="1" x14ac:dyDescent="0.2">
      <c r="A892" s="1"/>
      <c r="B892" s="1"/>
      <c r="C892" s="1"/>
      <c r="D892" s="1"/>
      <c r="E892" s="1"/>
      <c r="F892" s="1"/>
      <c r="G892" s="3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5.75" customHeight="1" x14ac:dyDescent="0.2">
      <c r="A893" s="1"/>
      <c r="B893" s="1"/>
      <c r="C893" s="1"/>
      <c r="D893" s="1"/>
      <c r="E893" s="1"/>
      <c r="F893" s="1"/>
      <c r="G893" s="3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5.75" customHeight="1" x14ac:dyDescent="0.2">
      <c r="A894" s="1"/>
      <c r="B894" s="1"/>
      <c r="C894" s="1"/>
      <c r="D894" s="1"/>
      <c r="E894" s="1"/>
      <c r="F894" s="1"/>
      <c r="G894" s="3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5.75" customHeight="1" x14ac:dyDescent="0.2">
      <c r="A895" s="1"/>
      <c r="B895" s="1"/>
      <c r="C895" s="1"/>
      <c r="D895" s="1"/>
      <c r="E895" s="1"/>
      <c r="F895" s="1"/>
      <c r="G895" s="3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5.75" customHeight="1" x14ac:dyDescent="0.2">
      <c r="A896" s="1"/>
      <c r="B896" s="1"/>
      <c r="C896" s="1"/>
      <c r="D896" s="1"/>
      <c r="E896" s="1"/>
      <c r="F896" s="1"/>
      <c r="G896" s="3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5.75" customHeight="1" x14ac:dyDescent="0.2">
      <c r="A897" s="1"/>
      <c r="B897" s="1"/>
      <c r="C897" s="1"/>
      <c r="D897" s="1"/>
      <c r="E897" s="1"/>
      <c r="F897" s="1"/>
      <c r="G897" s="3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5.75" customHeight="1" x14ac:dyDescent="0.2">
      <c r="A898" s="1"/>
      <c r="B898" s="1"/>
      <c r="C898" s="1"/>
      <c r="D898" s="1"/>
      <c r="E898" s="1"/>
      <c r="F898" s="1"/>
      <c r="G898" s="3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5.75" customHeight="1" x14ac:dyDescent="0.2">
      <c r="A899" s="1"/>
      <c r="B899" s="1"/>
      <c r="C899" s="1"/>
      <c r="D899" s="1"/>
      <c r="E899" s="1"/>
      <c r="F899" s="1"/>
      <c r="G899" s="3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5.75" customHeight="1" x14ac:dyDescent="0.2">
      <c r="A900" s="1"/>
      <c r="B900" s="1"/>
      <c r="C900" s="1"/>
      <c r="D900" s="1"/>
      <c r="E900" s="1"/>
      <c r="F900" s="1"/>
      <c r="G900" s="3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5.75" customHeight="1" x14ac:dyDescent="0.2">
      <c r="A901" s="1"/>
      <c r="B901" s="1"/>
      <c r="C901" s="1"/>
      <c r="D901" s="1"/>
      <c r="E901" s="1"/>
      <c r="F901" s="1"/>
      <c r="G901" s="3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5.75" customHeight="1" x14ac:dyDescent="0.2">
      <c r="A902" s="1"/>
      <c r="B902" s="1"/>
      <c r="C902" s="1"/>
      <c r="D902" s="1"/>
      <c r="E902" s="1"/>
      <c r="F902" s="1"/>
      <c r="G902" s="3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5.75" customHeight="1" x14ac:dyDescent="0.2">
      <c r="A903" s="1"/>
      <c r="B903" s="1"/>
      <c r="C903" s="1"/>
      <c r="D903" s="1"/>
      <c r="E903" s="1"/>
      <c r="F903" s="1"/>
      <c r="G903" s="3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5.75" customHeight="1" x14ac:dyDescent="0.2">
      <c r="A904" s="1"/>
      <c r="B904" s="1"/>
      <c r="C904" s="1"/>
      <c r="D904" s="1"/>
      <c r="E904" s="1"/>
      <c r="F904" s="1"/>
      <c r="G904" s="3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5.75" customHeight="1" x14ac:dyDescent="0.2">
      <c r="A905" s="1"/>
      <c r="B905" s="1"/>
      <c r="C905" s="1"/>
      <c r="D905" s="1"/>
      <c r="E905" s="1"/>
      <c r="F905" s="1"/>
      <c r="G905" s="3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5.75" customHeight="1" x14ac:dyDescent="0.2">
      <c r="A906" s="1"/>
      <c r="B906" s="1"/>
      <c r="C906" s="1"/>
      <c r="D906" s="1"/>
      <c r="E906" s="1"/>
      <c r="F906" s="1"/>
      <c r="G906" s="3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5.75" customHeight="1" x14ac:dyDescent="0.2">
      <c r="A907" s="1"/>
      <c r="B907" s="1"/>
      <c r="C907" s="1"/>
      <c r="D907" s="1"/>
      <c r="E907" s="1"/>
      <c r="F907" s="1"/>
      <c r="G907" s="3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5.75" customHeight="1" x14ac:dyDescent="0.2">
      <c r="A908" s="1"/>
      <c r="B908" s="1"/>
      <c r="C908" s="1"/>
      <c r="D908" s="1"/>
      <c r="E908" s="1"/>
      <c r="F908" s="1"/>
      <c r="G908" s="3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5.75" customHeight="1" x14ac:dyDescent="0.2">
      <c r="A909" s="1"/>
      <c r="B909" s="1"/>
      <c r="C909" s="1"/>
      <c r="D909" s="1"/>
      <c r="E909" s="1"/>
      <c r="F909" s="1"/>
      <c r="G909" s="3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5.75" customHeight="1" x14ac:dyDescent="0.2">
      <c r="A910" s="1"/>
      <c r="B910" s="1"/>
      <c r="C910" s="1"/>
      <c r="D910" s="1"/>
      <c r="E910" s="1"/>
      <c r="F910" s="1"/>
      <c r="G910" s="3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5.75" customHeight="1" x14ac:dyDescent="0.2">
      <c r="A911" s="1"/>
      <c r="B911" s="1"/>
      <c r="C911" s="1"/>
      <c r="D911" s="1"/>
      <c r="E911" s="1"/>
      <c r="F911" s="1"/>
      <c r="G911" s="3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5.75" customHeight="1" x14ac:dyDescent="0.2">
      <c r="A912" s="1"/>
      <c r="B912" s="1"/>
      <c r="C912" s="1"/>
      <c r="D912" s="1"/>
      <c r="E912" s="1"/>
      <c r="F912" s="1"/>
      <c r="G912" s="3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5.75" customHeight="1" x14ac:dyDescent="0.2">
      <c r="A913" s="1"/>
      <c r="B913" s="1"/>
      <c r="C913" s="1"/>
      <c r="D913" s="1"/>
      <c r="E913" s="1"/>
      <c r="F913" s="1"/>
      <c r="G913" s="3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5.75" customHeight="1" x14ac:dyDescent="0.2">
      <c r="A914" s="1"/>
      <c r="B914" s="1"/>
      <c r="C914" s="1"/>
      <c r="D914" s="1"/>
      <c r="E914" s="1"/>
      <c r="F914" s="1"/>
      <c r="G914" s="3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5.75" customHeight="1" x14ac:dyDescent="0.2">
      <c r="A915" s="1"/>
      <c r="B915" s="1"/>
      <c r="C915" s="1"/>
      <c r="D915" s="1"/>
      <c r="E915" s="1"/>
      <c r="F915" s="1"/>
      <c r="G915" s="3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5.75" customHeight="1" x14ac:dyDescent="0.2">
      <c r="A916" s="1"/>
      <c r="B916" s="1"/>
      <c r="C916" s="1"/>
      <c r="D916" s="1"/>
      <c r="E916" s="1"/>
      <c r="F916" s="1"/>
      <c r="G916" s="3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5.75" customHeight="1" x14ac:dyDescent="0.2">
      <c r="A917" s="1"/>
      <c r="B917" s="1"/>
      <c r="C917" s="1"/>
      <c r="D917" s="1"/>
      <c r="E917" s="1"/>
      <c r="F917" s="1"/>
      <c r="G917" s="3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5.75" customHeight="1" x14ac:dyDescent="0.2">
      <c r="A918" s="1"/>
      <c r="B918" s="1"/>
      <c r="C918" s="1"/>
      <c r="D918" s="1"/>
      <c r="E918" s="1"/>
      <c r="F918" s="1"/>
      <c r="G918" s="3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5.75" customHeight="1" x14ac:dyDescent="0.2">
      <c r="A919" s="1"/>
      <c r="B919" s="1"/>
      <c r="C919" s="1"/>
      <c r="D919" s="1"/>
      <c r="E919" s="1"/>
      <c r="F919" s="1"/>
      <c r="G919" s="3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5.75" customHeight="1" x14ac:dyDescent="0.2">
      <c r="A920" s="1"/>
      <c r="B920" s="1"/>
      <c r="C920" s="1"/>
      <c r="D920" s="1"/>
      <c r="E920" s="1"/>
      <c r="F920" s="1"/>
      <c r="G920" s="3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5.75" customHeight="1" x14ac:dyDescent="0.2">
      <c r="A921" s="1"/>
      <c r="B921" s="1"/>
      <c r="C921" s="1"/>
      <c r="D921" s="1"/>
      <c r="E921" s="1"/>
      <c r="F921" s="1"/>
      <c r="G921" s="3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5.75" customHeight="1" x14ac:dyDescent="0.2">
      <c r="A922" s="1"/>
      <c r="B922" s="1"/>
      <c r="C922" s="1"/>
      <c r="D922" s="1"/>
      <c r="E922" s="1"/>
      <c r="F922" s="1"/>
      <c r="G922" s="3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5.75" customHeight="1" x14ac:dyDescent="0.2">
      <c r="A923" s="1"/>
      <c r="B923" s="1"/>
      <c r="C923" s="1"/>
      <c r="D923" s="1"/>
      <c r="E923" s="1"/>
      <c r="F923" s="1"/>
      <c r="G923" s="3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5.75" customHeight="1" x14ac:dyDescent="0.2">
      <c r="A924" s="1"/>
      <c r="B924" s="1"/>
      <c r="C924" s="1"/>
      <c r="D924" s="1"/>
      <c r="E924" s="1"/>
      <c r="F924" s="1"/>
      <c r="G924" s="3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5.75" customHeight="1" x14ac:dyDescent="0.2">
      <c r="A925" s="1"/>
      <c r="B925" s="1"/>
      <c r="C925" s="1"/>
      <c r="D925" s="1"/>
      <c r="E925" s="1"/>
      <c r="F925" s="1"/>
      <c r="G925" s="3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5.75" customHeight="1" x14ac:dyDescent="0.2">
      <c r="A926" s="1"/>
      <c r="B926" s="1"/>
      <c r="C926" s="1"/>
      <c r="D926" s="1"/>
      <c r="E926" s="1"/>
      <c r="F926" s="1"/>
      <c r="G926" s="3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5.75" customHeight="1" x14ac:dyDescent="0.2">
      <c r="A927" s="1"/>
      <c r="B927" s="1"/>
      <c r="C927" s="1"/>
      <c r="D927" s="1"/>
      <c r="E927" s="1"/>
      <c r="F927" s="1"/>
      <c r="G927" s="3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5.75" customHeight="1" x14ac:dyDescent="0.2">
      <c r="A928" s="1"/>
      <c r="B928" s="1"/>
      <c r="C928" s="1"/>
      <c r="D928" s="1"/>
      <c r="E928" s="1"/>
      <c r="F928" s="1"/>
      <c r="G928" s="3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5.75" customHeight="1" x14ac:dyDescent="0.2">
      <c r="A929" s="1"/>
      <c r="B929" s="1"/>
      <c r="C929" s="1"/>
      <c r="D929" s="1"/>
      <c r="E929" s="1"/>
      <c r="F929" s="1"/>
      <c r="G929" s="3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5.75" customHeight="1" x14ac:dyDescent="0.2">
      <c r="A930" s="1"/>
      <c r="B930" s="1"/>
      <c r="C930" s="1"/>
      <c r="D930" s="1"/>
      <c r="E930" s="1"/>
      <c r="F930" s="1"/>
      <c r="G930" s="3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5.75" customHeight="1" x14ac:dyDescent="0.2">
      <c r="A931" s="1"/>
      <c r="B931" s="1"/>
      <c r="C931" s="1"/>
      <c r="D931" s="1"/>
      <c r="E931" s="1"/>
      <c r="F931" s="1"/>
      <c r="G931" s="3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5.75" customHeight="1" x14ac:dyDescent="0.2">
      <c r="A932" s="1"/>
      <c r="B932" s="1"/>
      <c r="C932" s="1"/>
      <c r="D932" s="1"/>
      <c r="E932" s="1"/>
      <c r="F932" s="1"/>
      <c r="G932" s="3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5.75" customHeight="1" x14ac:dyDescent="0.2">
      <c r="A933" s="1"/>
      <c r="B933" s="1"/>
      <c r="C933" s="1"/>
      <c r="D933" s="1"/>
      <c r="E933" s="1"/>
      <c r="F933" s="1"/>
      <c r="G933" s="3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5.75" customHeight="1" x14ac:dyDescent="0.2">
      <c r="A934" s="1"/>
      <c r="B934" s="1"/>
      <c r="C934" s="1"/>
      <c r="D934" s="1"/>
      <c r="E934" s="1"/>
      <c r="F934" s="1"/>
      <c r="G934" s="3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5.75" customHeight="1" x14ac:dyDescent="0.2">
      <c r="A935" s="1"/>
      <c r="B935" s="1"/>
      <c r="C935" s="1"/>
      <c r="D935" s="1"/>
      <c r="E935" s="1"/>
      <c r="F935" s="1"/>
      <c r="G935" s="3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5.75" customHeight="1" x14ac:dyDescent="0.2">
      <c r="A936" s="1"/>
      <c r="B936" s="1"/>
      <c r="C936" s="1"/>
      <c r="D936" s="1"/>
      <c r="E936" s="1"/>
      <c r="F936" s="1"/>
      <c r="G936" s="3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5.75" customHeight="1" x14ac:dyDescent="0.2">
      <c r="A937" s="1"/>
      <c r="B937" s="1"/>
      <c r="C937" s="1"/>
      <c r="D937" s="1"/>
      <c r="E937" s="1"/>
      <c r="F937" s="1"/>
      <c r="G937" s="3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5.75" customHeight="1" x14ac:dyDescent="0.2">
      <c r="A938" s="1"/>
      <c r="B938" s="1"/>
      <c r="C938" s="1"/>
      <c r="D938" s="1"/>
      <c r="E938" s="1"/>
      <c r="F938" s="1"/>
      <c r="G938" s="3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5.75" customHeight="1" x14ac:dyDescent="0.2">
      <c r="A939" s="1"/>
      <c r="B939" s="1"/>
      <c r="C939" s="1"/>
      <c r="D939" s="1"/>
      <c r="E939" s="1"/>
      <c r="F939" s="1"/>
      <c r="G939" s="3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5.75" customHeight="1" x14ac:dyDescent="0.2">
      <c r="A940" s="1"/>
      <c r="B940" s="1"/>
      <c r="C940" s="1"/>
      <c r="D940" s="1"/>
      <c r="E940" s="1"/>
      <c r="F940" s="1"/>
      <c r="G940" s="3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5.75" customHeight="1" x14ac:dyDescent="0.2">
      <c r="A941" s="1"/>
      <c r="B941" s="1"/>
      <c r="C941" s="1"/>
      <c r="D941" s="1"/>
      <c r="E941" s="1"/>
      <c r="F941" s="1"/>
      <c r="G941" s="3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5.75" customHeight="1" x14ac:dyDescent="0.2">
      <c r="A942" s="1"/>
      <c r="B942" s="1"/>
      <c r="C942" s="1"/>
      <c r="D942" s="1"/>
      <c r="E942" s="1"/>
      <c r="F942" s="1"/>
      <c r="G942" s="3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5.75" customHeight="1" x14ac:dyDescent="0.2">
      <c r="A943" s="1"/>
      <c r="B943" s="1"/>
      <c r="C943" s="1"/>
      <c r="D943" s="1"/>
      <c r="E943" s="1"/>
      <c r="F943" s="1"/>
      <c r="G943" s="3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5.75" customHeight="1" x14ac:dyDescent="0.2">
      <c r="A944" s="1"/>
      <c r="B944" s="1"/>
      <c r="C944" s="1"/>
      <c r="D944" s="1"/>
      <c r="E944" s="1"/>
      <c r="F944" s="1"/>
      <c r="G944" s="3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5.75" customHeight="1" x14ac:dyDescent="0.2">
      <c r="A945" s="1"/>
      <c r="B945" s="1"/>
      <c r="C945" s="1"/>
      <c r="D945" s="1"/>
      <c r="E945" s="1"/>
      <c r="F945" s="1"/>
      <c r="G945" s="3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5.75" customHeight="1" x14ac:dyDescent="0.2">
      <c r="A946" s="1"/>
      <c r="B946" s="1"/>
      <c r="C946" s="1"/>
      <c r="D946" s="1"/>
      <c r="E946" s="1"/>
      <c r="F946" s="1"/>
      <c r="G946" s="3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5.75" customHeight="1" x14ac:dyDescent="0.2">
      <c r="B947" s="1"/>
      <c r="C947" s="1"/>
      <c r="D947" s="1"/>
      <c r="E947" s="1"/>
      <c r="F947" s="1"/>
      <c r="G947" s="3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</sheetData>
  <mergeCells count="7">
    <mergeCell ref="B40:D40"/>
    <mergeCell ref="I40:K40"/>
    <mergeCell ref="B2:C2"/>
    <mergeCell ref="I7:J7"/>
    <mergeCell ref="B7:C7"/>
    <mergeCell ref="I14:J14"/>
    <mergeCell ref="B14:C14"/>
  </mergeCells>
  <phoneticPr fontId="9" type="noConversion"/>
  <conditionalFormatting sqref="B24:B27">
    <cfRule type="containsBlanks" dxfId="14" priority="5">
      <formula>LEN(TRIM(B24))=0</formula>
    </cfRule>
  </conditionalFormatting>
  <conditionalFormatting sqref="B44">
    <cfRule type="containsBlanks" dxfId="13" priority="3">
      <formula>LEN(TRIM(B44))=0</formula>
    </cfRule>
  </conditionalFormatting>
  <conditionalFormatting sqref="I24:I27">
    <cfRule type="containsBlanks" dxfId="12" priority="4">
      <formula>LEN(TRIM(I24))=0</formula>
    </cfRule>
  </conditionalFormatting>
  <conditionalFormatting sqref="I44">
    <cfRule type="containsBlanks" dxfId="11" priority="2">
      <formula>LEN(TRIM(I44))=0</formula>
    </cfRule>
  </conditionalFormatting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01CA39B-C9F2-4725-86ED-D2A8B8E9FFFC}">
          <x14:formula1>
            <xm:f>'Input keuzevariabelen'!$E$11:$E$12</xm:f>
          </x14:formula1>
          <xm:sqref>J11 C10</xm:sqref>
        </x14:dataValidation>
        <x14:dataValidation type="list" allowBlank="1" showErrorMessage="1" xr:uid="{00000000-0002-0000-0000-000001000000}">
          <x14:formula1>
            <xm:f>'Input keuzevariabelen'!$D$11:$D$18</xm:f>
          </x14:formula1>
          <xm:sqref>J10 C9</xm:sqref>
        </x14:dataValidation>
        <x14:dataValidation type="list" allowBlank="1" showInputMessage="1" showErrorMessage="1" xr:uid="{53AFADC6-1194-4C41-8081-97F7C411E2AD}">
          <x14:formula1>
            <xm:f>'Input keuzevariabelen'!$B$11:$B$16</xm:f>
          </x14:formula1>
          <xm:sqref>J9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C0FB0-D960-4C5C-9E9A-E910E46D85F3}">
  <dimension ref="A1:CX965"/>
  <sheetViews>
    <sheetView showGridLines="0" topLeftCell="I1" zoomScale="130" zoomScaleNormal="130" workbookViewId="0">
      <selection activeCell="Q11" sqref="Q11"/>
    </sheetView>
    <sheetView tabSelected="1" topLeftCell="A2" workbookViewId="1"/>
  </sheetViews>
  <sheetFormatPr defaultColWidth="0" defaultRowHeight="15" customHeight="1" x14ac:dyDescent="0.2"/>
  <cols>
    <col min="1" max="1" width="7.5" style="2" customWidth="1"/>
    <col min="2" max="2" width="41.5" style="2" customWidth="1"/>
    <col min="3" max="5" width="12" style="2" customWidth="1"/>
    <col min="6" max="6" width="13.625" style="2" customWidth="1"/>
    <col min="7" max="10" width="12" style="2" customWidth="1"/>
    <col min="11" max="12" width="8.5" style="2" customWidth="1"/>
    <col min="13" max="13" width="49" style="2" customWidth="1"/>
    <col min="14" max="14" width="26.875" style="2" customWidth="1"/>
    <col min="15" max="21" width="12" style="2" customWidth="1"/>
    <col min="22" max="23" width="7.375" style="2" bestFit="1" customWidth="1"/>
    <col min="24" max="31" width="7.5" style="2" bestFit="1" customWidth="1"/>
    <col min="32" max="32" width="51.5" style="2" customWidth="1"/>
    <col min="33" max="33" width="54" style="2" bestFit="1" customWidth="1"/>
    <col min="34" max="34" width="80.5" style="2" bestFit="1" customWidth="1"/>
    <col min="35" max="35" width="24.5" style="2" customWidth="1"/>
    <col min="36" max="36" width="27.875" style="2" customWidth="1"/>
    <col min="37" max="37" width="21" style="2" customWidth="1"/>
    <col min="38" max="41" width="12.5" style="2" customWidth="1"/>
    <col min="42" max="102" width="0" style="2" hidden="1" customWidth="1"/>
    <col min="103" max="16384" width="12.5" style="2" hidden="1"/>
  </cols>
  <sheetData>
    <row r="1" spans="1:37" ht="49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49.5" customHeight="1" x14ac:dyDescent="0.6">
      <c r="A2" s="1"/>
      <c r="B2" s="272"/>
      <c r="C2" s="312" t="s">
        <v>63</v>
      </c>
      <c r="D2" s="132"/>
      <c r="E2" s="132"/>
      <c r="F2" s="132"/>
      <c r="G2" s="132"/>
      <c r="H2" s="132"/>
      <c r="I2" s="132"/>
      <c r="J2" s="1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AA2" s="263"/>
      <c r="AB2" s="263"/>
      <c r="AC2" s="263"/>
      <c r="AD2" s="1"/>
      <c r="AE2" s="1"/>
      <c r="AF2" s="1"/>
      <c r="AG2" s="1"/>
      <c r="AH2" s="1"/>
      <c r="AI2" s="1"/>
      <c r="AJ2" s="1"/>
      <c r="AK2" s="1"/>
    </row>
    <row r="3" spans="1:37" ht="15.75" customHeight="1" thickBo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24" customHeight="1" thickTop="1" thickBot="1" x14ac:dyDescent="0.25">
      <c r="A4" s="1"/>
      <c r="B4" s="351"/>
      <c r="C4" s="352"/>
      <c r="D4" s="130"/>
      <c r="E4" s="130"/>
      <c r="F4" s="130"/>
      <c r="G4" s="130"/>
      <c r="H4" s="130"/>
      <c r="I4" s="130"/>
      <c r="J4" s="130"/>
      <c r="K4" s="1"/>
      <c r="L4" s="1"/>
      <c r="M4" s="346" t="s">
        <v>64</v>
      </c>
      <c r="N4" s="347"/>
      <c r="O4" s="1"/>
      <c r="P4" s="1"/>
      <c r="Q4" s="1"/>
      <c r="R4" s="1"/>
      <c r="S4" s="1"/>
      <c r="T4" s="1"/>
      <c r="U4" s="1"/>
      <c r="V4" s="1"/>
      <c r="W4" s="1"/>
      <c r="X4" s="1"/>
      <c r="AA4" s="1"/>
      <c r="AB4" s="1"/>
      <c r="AC4" s="1"/>
    </row>
    <row r="5" spans="1:37" ht="20.100000000000001" customHeight="1" thickTop="1" thickBot="1" x14ac:dyDescent="0.25">
      <c r="A5" s="1"/>
      <c r="B5" s="8"/>
      <c r="C5" s="8"/>
      <c r="D5" s="8"/>
      <c r="E5" s="8"/>
      <c r="F5" s="8"/>
      <c r="G5" s="8"/>
      <c r="H5" s="8"/>
      <c r="I5" s="8"/>
      <c r="J5" s="8"/>
      <c r="K5" s="1"/>
      <c r="L5" s="1"/>
      <c r="M5" s="84" t="s">
        <v>7</v>
      </c>
      <c r="N5" s="85" t="s">
        <v>8</v>
      </c>
      <c r="O5" s="1"/>
      <c r="P5" s="1"/>
      <c r="Q5" s="1"/>
      <c r="R5" s="1"/>
      <c r="S5" s="1"/>
      <c r="T5" s="1"/>
      <c r="U5" s="1"/>
      <c r="V5" s="1"/>
      <c r="W5" s="1"/>
      <c r="X5" s="1"/>
      <c r="AA5" s="1"/>
      <c r="AB5" s="1"/>
      <c r="AC5" s="1"/>
    </row>
    <row r="6" spans="1:37" ht="15.75" customHeight="1" thickTop="1" thickBo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1"/>
      <c r="L6" s="1"/>
      <c r="M6" s="86" t="s">
        <v>10</v>
      </c>
      <c r="N6" s="87" t="s">
        <v>11</v>
      </c>
      <c r="O6" s="1"/>
      <c r="P6" s="1"/>
      <c r="Q6" s="1"/>
      <c r="R6" s="1"/>
      <c r="S6" s="1"/>
      <c r="T6" s="1"/>
      <c r="U6" s="1"/>
      <c r="V6" s="1"/>
      <c r="W6" s="1"/>
      <c r="X6" s="1"/>
      <c r="AA6" s="1"/>
      <c r="AB6" s="1"/>
      <c r="AC6" s="1"/>
    </row>
    <row r="7" spans="1:37" ht="15.75" customHeight="1" thickTop="1" thickBot="1" x14ac:dyDescent="0.25">
      <c r="A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7" ht="33.75" customHeight="1" thickTop="1" thickBot="1" x14ac:dyDescent="0.25">
      <c r="A8" s="1"/>
      <c r="B8" s="353" t="s">
        <v>65</v>
      </c>
      <c r="C8" s="354"/>
      <c r="D8" s="354"/>
      <c r="E8" s="354"/>
      <c r="F8" s="354"/>
      <c r="G8" s="336"/>
      <c r="H8" s="336"/>
      <c r="I8" s="336"/>
      <c r="J8" s="336"/>
      <c r="K8" s="28"/>
      <c r="L8" s="1"/>
      <c r="M8" s="349" t="s">
        <v>66</v>
      </c>
      <c r="N8" s="350"/>
      <c r="O8" s="350"/>
      <c r="P8" s="350"/>
      <c r="Q8" s="350"/>
      <c r="R8" s="350"/>
      <c r="S8" s="350"/>
      <c r="T8" s="350"/>
      <c r="U8" s="350"/>
      <c r="V8" s="28"/>
      <c r="W8" s="28"/>
      <c r="X8" s="1"/>
      <c r="Y8" s="348"/>
      <c r="Z8" s="348"/>
      <c r="AA8" s="28"/>
      <c r="AB8" s="28"/>
      <c r="AC8" s="30"/>
    </row>
    <row r="9" spans="1:37" ht="18.75" customHeight="1" thickTop="1" thickBot="1" x14ac:dyDescent="0.25">
      <c r="A9" s="1"/>
      <c r="B9" s="79"/>
      <c r="C9" s="80">
        <f>'Input keuzevariabelen'!$D$11</f>
        <v>2019</v>
      </c>
      <c r="D9" s="80">
        <f>C9+1</f>
        <v>2020</v>
      </c>
      <c r="E9" s="80">
        <f t="shared" ref="E9:H9" si="0">D9+1</f>
        <v>2021</v>
      </c>
      <c r="F9" s="80">
        <f t="shared" si="0"/>
        <v>2022</v>
      </c>
      <c r="G9" s="80">
        <f t="shared" si="0"/>
        <v>2023</v>
      </c>
      <c r="H9" s="80">
        <f t="shared" si="0"/>
        <v>2024</v>
      </c>
      <c r="I9" s="80">
        <f t="shared" ref="I9" si="1">H9+1</f>
        <v>2025</v>
      </c>
      <c r="J9" s="80">
        <f t="shared" ref="J9" si="2">I9+1</f>
        <v>2026</v>
      </c>
      <c r="L9" s="1"/>
      <c r="M9" s="79"/>
      <c r="N9" s="80">
        <f>'Input keuzevariabelen'!$D$11</f>
        <v>2019</v>
      </c>
      <c r="O9" s="80">
        <f>+N9+1</f>
        <v>2020</v>
      </c>
      <c r="P9" s="80">
        <f t="shared" ref="P9:S9" si="3">+O9+1</f>
        <v>2021</v>
      </c>
      <c r="Q9" s="80">
        <f t="shared" si="3"/>
        <v>2022</v>
      </c>
      <c r="R9" s="80">
        <f t="shared" si="3"/>
        <v>2023</v>
      </c>
      <c r="S9" s="80">
        <f t="shared" si="3"/>
        <v>2024</v>
      </c>
      <c r="T9" s="80">
        <f t="shared" ref="T9" si="4">+S9+1</f>
        <v>2025</v>
      </c>
      <c r="U9" s="80">
        <f t="shared" ref="U9" si="5">+T9+1</f>
        <v>2026</v>
      </c>
      <c r="X9" s="1"/>
      <c r="Y9" s="30"/>
      <c r="Z9" s="30"/>
      <c r="AA9" s="28"/>
      <c r="AB9" s="28"/>
      <c r="AC9" s="30"/>
    </row>
    <row r="10" spans="1:37" ht="23.25" customHeight="1" thickTop="1" thickBot="1" x14ac:dyDescent="0.25">
      <c r="A10" s="1"/>
      <c r="B10" s="313" t="s">
        <v>16</v>
      </c>
      <c r="C10" s="314" t="s">
        <v>13</v>
      </c>
      <c r="D10" s="314" t="s">
        <v>13</v>
      </c>
      <c r="E10" s="314" t="s">
        <v>13</v>
      </c>
      <c r="F10" s="314" t="s">
        <v>13</v>
      </c>
      <c r="G10" s="314" t="s">
        <v>13</v>
      </c>
      <c r="H10" s="314" t="s">
        <v>13</v>
      </c>
      <c r="I10" s="314" t="s">
        <v>13</v>
      </c>
      <c r="J10" s="314" t="s">
        <v>13</v>
      </c>
      <c r="L10" s="1"/>
      <c r="M10" s="313" t="s">
        <v>16</v>
      </c>
      <c r="N10" s="314" t="s">
        <v>13</v>
      </c>
      <c r="O10" s="314" t="s">
        <v>13</v>
      </c>
      <c r="P10" s="314" t="s">
        <v>13</v>
      </c>
      <c r="Q10" s="314" t="s">
        <v>13</v>
      </c>
      <c r="R10" s="314" t="s">
        <v>13</v>
      </c>
      <c r="S10" s="314" t="s">
        <v>13</v>
      </c>
      <c r="T10" s="314" t="s">
        <v>13</v>
      </c>
      <c r="U10" s="314" t="s">
        <v>13</v>
      </c>
      <c r="X10" s="1"/>
      <c r="Y10" s="20"/>
      <c r="Z10" s="20"/>
      <c r="AA10" s="20"/>
      <c r="AB10" s="21"/>
      <c r="AC10" s="21"/>
    </row>
    <row r="11" spans="1:37" ht="15.75" customHeight="1" thickTop="1" thickBot="1" x14ac:dyDescent="0.25">
      <c r="A11" s="1"/>
      <c r="B11" s="59" t="s">
        <v>21</v>
      </c>
      <c r="C11" s="83">
        <f>SUMIFS(Data!$N:$N,Data!$H:$H,$B11,Data!$E:$E,C$9,Data!$F:$F,C$10)</f>
        <v>1747.0650172500004</v>
      </c>
      <c r="D11" s="83">
        <f>SUMIFS(Data!$N:$N,Data!$H:$H,$B11,Data!$E:$E,D$9,Data!$F:$F,D$10)</f>
        <v>2986.3220057039998</v>
      </c>
      <c r="E11" s="83">
        <f>SUMIFS(Data!$N:$N,Data!$H:$H,$B11,Data!$E:$E,E$9,Data!$F:$F,E$10)</f>
        <v>3955.8196526400002</v>
      </c>
      <c r="F11" s="83">
        <f>SUMIFS(Data!$N:$N,Data!$H:$H,$B11,Data!$E:$E,F$9,Data!$F:$F,F$10)</f>
        <v>3397.5135736049997</v>
      </c>
      <c r="G11" s="83">
        <f>SUMIFS(Data!$N:$N,Data!$H:$H,$B11,Data!$E:$E,G$9,Data!$F:$F,G$10)</f>
        <v>0</v>
      </c>
      <c r="H11" s="83">
        <f>SUMIFS(Data!$N:$N,Data!$H:$H,$B11,Data!$E:$E,H$9,Data!$F:$F,H$10)</f>
        <v>0</v>
      </c>
      <c r="I11" s="83">
        <f>SUMIFS(Data!$N:$N,Data!$H:$H,$B11,Data!$E:$E,I$9,Data!$F:$F,I$10)</f>
        <v>0</v>
      </c>
      <c r="J11" s="83">
        <f>SUMIFS(Data!$N:$N,Data!$H:$H,$B11,Data!$E:$E,J$9,Data!$F:$F,J$10)</f>
        <v>0</v>
      </c>
      <c r="L11" s="1"/>
      <c r="M11" s="59" t="s">
        <v>21</v>
      </c>
      <c r="N11" s="83">
        <f>SUMIFS(Data!$N:$N,Data!$H:$H,$M11,Data!$E:$E,N$9,Data!$C:$C,$N$6,Data!$F:$F,N$10)</f>
        <v>1607.1539400000001</v>
      </c>
      <c r="O11" s="83">
        <f>SUMIFS(Data!$N:$N,Data!$H:$H,$M11,Data!$E:$E,O$9,Data!$C:$C,$N$6,Data!$F:$F,O$10)</f>
        <v>2827.9141440000003</v>
      </c>
      <c r="P11" s="83">
        <f>SUMIFS(Data!$N:$N,Data!$H:$H,$M11,Data!$E:$E,P$9,Data!$C:$C,$N$6,Data!$F:$F,P$10)</f>
        <v>3843.4730399999999</v>
      </c>
      <c r="Q11" s="83">
        <f>SUMIFS(Data!$N:$N,Data!$H:$H,$M11,Data!$E:$E,Q$9,Data!$C:$C,$N$6,Data!$F:$F,Q$10)</f>
        <v>3290.0987249999998</v>
      </c>
      <c r="R11" s="83">
        <f>SUMIFS(Data!$N:$N,Data!$H:$H,$M11,Data!$E:$E,R$9,Data!$C:$C,$N$6,Data!$F:$F,R$10)</f>
        <v>0</v>
      </c>
      <c r="S11" s="83">
        <f>SUMIFS(Data!$N:$N,Data!$H:$H,$M11,Data!$E:$E,S$9,Data!$C:$C,$N$6,Data!$F:$F,S$10)</f>
        <v>0</v>
      </c>
      <c r="T11" s="83">
        <f>SUMIFS(Data!$N:$N,Data!$H:$H,$M11,Data!$E:$E,T$9,Data!$C:$C,$N$6,Data!$F:$F,T$10)</f>
        <v>0</v>
      </c>
      <c r="U11" s="83">
        <f>SUMIFS(Data!$N:$N,Data!$H:$H,$M11,Data!$E:$E,U$9,Data!$C:$C,$N$6,Data!$F:$F,U$10)</f>
        <v>0</v>
      </c>
      <c r="X11" s="1"/>
      <c r="Y11" s="10"/>
      <c r="Z11" s="16"/>
      <c r="AA11" s="10"/>
      <c r="AB11" s="22"/>
      <c r="AC11" s="13"/>
      <c r="AK11" s="14"/>
    </row>
    <row r="12" spans="1:37" ht="15.75" customHeight="1" thickTop="1" thickBot="1" x14ac:dyDescent="0.25">
      <c r="A12" s="1"/>
      <c r="B12" s="59" t="s">
        <v>23</v>
      </c>
      <c r="C12" s="83">
        <f>SUMIFS(Data!$N:$N,Data!$H:$H,$B12,Data!$E:$E,C$9,Data!$F:$F,C$10)</f>
        <v>144.73090165799999</v>
      </c>
      <c r="D12" s="83">
        <f>SUMIFS(Data!$N:$N,Data!$H:$H,$B12,Data!$E:$E,D$9,Data!$F:$F,D$10)</f>
        <v>137.29809539600001</v>
      </c>
      <c r="E12" s="83">
        <f>SUMIFS(Data!$N:$N,Data!$H:$H,$B12,Data!$E:$E,E$9,Data!$F:$F,E$10)</f>
        <v>133.22583416800001</v>
      </c>
      <c r="F12" s="83">
        <f>SUMIFS(Data!$N:$N,Data!$H:$H,$B12,Data!$E:$E,F$9,Data!$F:$F,F$10)</f>
        <v>145.82364060496934</v>
      </c>
      <c r="G12" s="83">
        <f>SUMIFS(Data!$N:$N,Data!$H:$H,$B12,Data!$E:$E,G$9,Data!$F:$F,G$10)</f>
        <v>0</v>
      </c>
      <c r="H12" s="83">
        <f>SUMIFS(Data!$N:$N,Data!$H:$H,$B12,Data!$E:$E,H$9,Data!$F:$F,H$10)</f>
        <v>0</v>
      </c>
      <c r="I12" s="83">
        <f>SUMIFS(Data!$N:$N,Data!$H:$H,$B12,Data!$E:$E,I$9,Data!$F:$F,I$10)</f>
        <v>0</v>
      </c>
      <c r="J12" s="83">
        <f>SUMIFS(Data!$N:$N,Data!$H:$H,$B12,Data!$E:$E,J$9,Data!$F:$F,J$10)</f>
        <v>0</v>
      </c>
      <c r="L12" s="1"/>
      <c r="M12" s="59" t="s">
        <v>23</v>
      </c>
      <c r="N12" s="83">
        <f>SUMIFS(Data!$N:$N,Data!$H:$H,$M12,Data!$E:$E,N$9,Data!$C:$C,$N$6,Data!$F:$F,N$10)</f>
        <v>112.42989299999999</v>
      </c>
      <c r="O12" s="83">
        <f>SUMIFS(Data!$N:$N,Data!$H:$H,$M12,Data!$E:$E,O$9,Data!$C:$C,$N$6,Data!$F:$F,O$10)</f>
        <v>105.94976</v>
      </c>
      <c r="P12" s="83">
        <f>SUMIFS(Data!$N:$N,Data!$H:$H,$M12,Data!$E:$E,P$9,Data!$C:$C,$N$6,Data!$F:$F,P$10)</f>
        <v>91.179423999999997</v>
      </c>
      <c r="Q12" s="83">
        <f>SUMIFS(Data!$N:$N,Data!$H:$H,$M12,Data!$E:$E,Q$9,Data!$C:$C,$N$6,Data!$F:$F,Q$10)</f>
        <v>99.034320000000008</v>
      </c>
      <c r="R12" s="83">
        <f>SUMIFS(Data!$N:$N,Data!$H:$H,$M12,Data!$E:$E,R$9,Data!$C:$C,$N$6,Data!$F:$F,R$10)</f>
        <v>0</v>
      </c>
      <c r="S12" s="83">
        <f>SUMIFS(Data!$N:$N,Data!$H:$H,$M12,Data!$E:$E,S$9,Data!$C:$C,$N$6,Data!$F:$F,S$10)</f>
        <v>0</v>
      </c>
      <c r="T12" s="83">
        <f>SUMIFS(Data!$N:$N,Data!$H:$H,$M12,Data!$E:$E,T$9,Data!$C:$C,$N$6,Data!$F:$F,T$10)</f>
        <v>0</v>
      </c>
      <c r="U12" s="83">
        <f>SUMIFS(Data!$N:$N,Data!$H:$H,$M12,Data!$E:$E,U$9,Data!$C:$C,$N$6,Data!$F:$F,U$10)</f>
        <v>0</v>
      </c>
      <c r="X12" s="1"/>
      <c r="Y12" s="9"/>
      <c r="Z12" s="16"/>
      <c r="AA12" s="10"/>
      <c r="AB12" s="22"/>
      <c r="AC12" s="13"/>
      <c r="AK12" s="14"/>
    </row>
    <row r="13" spans="1:37" ht="15.75" customHeight="1" thickTop="1" thickBot="1" x14ac:dyDescent="0.25">
      <c r="A13" s="1"/>
      <c r="B13" s="59" t="s">
        <v>25</v>
      </c>
      <c r="C13" s="83">
        <f>SUMIFS(Data!$N:$N,Data!$H:$H,$B13,Data!$E:$E,C$9,Data!$F:$F,C$10)</f>
        <v>82.060476567999999</v>
      </c>
      <c r="D13" s="83">
        <f>SUMIFS(Data!$N:$N,Data!$H:$H,$B13,Data!$E:$E,D$9,Data!$F:$F,D$10)</f>
        <v>7.3219144319999998</v>
      </c>
      <c r="E13" s="83">
        <f>SUMIFS(Data!$N:$N,Data!$H:$H,$B13,Data!$E:$E,E$9,Data!$F:$F,E$10)</f>
        <v>81.579421152000009</v>
      </c>
      <c r="F13" s="83">
        <f>SUMIFS(Data!$N:$N,Data!$H:$H,$B13,Data!$E:$E,F$9,Data!$F:$F,F$10)</f>
        <v>87.305294772880302</v>
      </c>
      <c r="G13" s="83">
        <f>SUMIFS(Data!$N:$N,Data!$H:$H,$B13,Data!$E:$E,G$9,Data!$F:$F,G$10)</f>
        <v>0</v>
      </c>
      <c r="H13" s="83">
        <f>SUMIFS(Data!$N:$N,Data!$H:$H,$B13,Data!$E:$E,H$9,Data!$F:$F,H$10)</f>
        <v>0</v>
      </c>
      <c r="I13" s="83">
        <f>SUMIFS(Data!$N:$N,Data!$H:$H,$B13,Data!$E:$E,I$9,Data!$F:$F,I$10)</f>
        <v>0</v>
      </c>
      <c r="J13" s="83">
        <f>SUMIFS(Data!$N:$N,Data!$H:$H,$B13,Data!$E:$E,J$9,Data!$F:$F,J$10)</f>
        <v>0</v>
      </c>
      <c r="L13" s="1"/>
      <c r="M13" s="59" t="s">
        <v>25</v>
      </c>
      <c r="N13" s="83">
        <f>SUMIFS(Data!$N:$N,Data!$H:$H,$M13,Data!$E:$E,N$9,Data!$C:$C,$N$6,Data!$F:$F,N$10)</f>
        <v>81.201903999999999</v>
      </c>
      <c r="O13" s="83">
        <f>SUMIFS(Data!$N:$N,Data!$H:$H,$M13,Data!$E:$E,O$9,Data!$C:$C,$N$6,Data!$F:$F,O$10)</f>
        <v>6.6983040000000003</v>
      </c>
      <c r="P13" s="83">
        <f>SUMIFS(Data!$N:$N,Data!$H:$H,$M13,Data!$E:$E,P$9,Data!$C:$C,$N$6,Data!$F:$F,P$10)</f>
        <v>80.830656000000005</v>
      </c>
      <c r="Q13" s="83">
        <f>SUMIFS(Data!$N:$N,Data!$H:$H,$M13,Data!$E:$E,Q$9,Data!$C:$C,$N$6,Data!$F:$F,Q$10)</f>
        <v>86.053439999999995</v>
      </c>
      <c r="R13" s="83">
        <f>SUMIFS(Data!$N:$N,Data!$H:$H,$M13,Data!$E:$E,R$9,Data!$C:$C,$N$6,Data!$F:$F,R$10)</f>
        <v>0</v>
      </c>
      <c r="S13" s="83">
        <f>SUMIFS(Data!$N:$N,Data!$H:$H,$M13,Data!$E:$E,S$9,Data!$C:$C,$N$6,Data!$F:$F,S$10)</f>
        <v>0</v>
      </c>
      <c r="T13" s="83">
        <f>SUMIFS(Data!$N:$N,Data!$H:$H,$M13,Data!$E:$E,T$9,Data!$C:$C,$N$6,Data!$F:$F,T$10)</f>
        <v>0</v>
      </c>
      <c r="U13" s="83">
        <f>SUMIFS(Data!$N:$N,Data!$H:$H,$M13,Data!$E:$E,U$9,Data!$C:$C,$N$6,Data!$F:$F,U$10)</f>
        <v>0</v>
      </c>
      <c r="X13" s="1"/>
      <c r="Y13" s="10"/>
      <c r="Z13" s="16"/>
      <c r="AA13" s="10"/>
      <c r="AB13" s="22"/>
      <c r="AC13" s="13"/>
      <c r="AK13" s="14"/>
    </row>
    <row r="14" spans="1:37" ht="15.75" customHeight="1" thickTop="1" thickBot="1" x14ac:dyDescent="0.25">
      <c r="A14" s="1"/>
      <c r="B14" s="59" t="s">
        <v>26</v>
      </c>
      <c r="C14" s="83">
        <f>SUMIFS(Data!$N:$N,Data!$H:$H,$B14,Data!$E:$E,C$9,Data!$F:$F,C$10)</f>
        <v>0</v>
      </c>
      <c r="D14" s="83">
        <f>SUMIFS(Data!$N:$N,Data!$H:$H,$B14,Data!$E:$E,D$9,Data!$F:$F,D$10)</f>
        <v>6.63</v>
      </c>
      <c r="E14" s="83">
        <f>SUMIFS(Data!$N:$N,Data!$H:$H,$B14,Data!$E:$E,E$9,Data!$F:$F,E$10)</f>
        <v>0</v>
      </c>
      <c r="F14" s="83">
        <f>SUMIFS(Data!$N:$N,Data!$H:$H,$B14,Data!$E:$E,F$9,Data!$F:$F,F$10)</f>
        <v>0</v>
      </c>
      <c r="G14" s="83">
        <f>SUMIFS(Data!$N:$N,Data!$H:$H,$B14,Data!$E:$E,G$9,Data!$F:$F,G$10)</f>
        <v>0</v>
      </c>
      <c r="H14" s="83">
        <f>SUMIFS(Data!$N:$N,Data!$H:$H,$B14,Data!$E:$E,H$9,Data!$F:$F,H$10)</f>
        <v>0</v>
      </c>
      <c r="I14" s="83">
        <f>SUMIFS(Data!$N:$N,Data!$H:$H,$B14,Data!$E:$E,I$9,Data!$F:$F,I$10)</f>
        <v>0</v>
      </c>
      <c r="J14" s="83">
        <f>SUMIFS(Data!$N:$N,Data!$H:$H,$B14,Data!$E:$E,J$9,Data!$F:$F,J$10)</f>
        <v>0</v>
      </c>
      <c r="L14" s="1"/>
      <c r="M14" s="59" t="s">
        <v>26</v>
      </c>
      <c r="N14" s="83">
        <f>SUMIFS(Data!$N:$N,Data!$H:$H,$M14,Data!$E:$E,N$9,Data!$C:$C,$N$6,Data!$F:$F,N$10)</f>
        <v>0</v>
      </c>
      <c r="O14" s="83">
        <f>SUMIFS(Data!$N:$N,Data!$H:$H,$M14,Data!$E:$E,O$9,Data!$C:$C,$N$6,Data!$F:$F,O$10)</f>
        <v>6.63</v>
      </c>
      <c r="P14" s="83">
        <f>SUMIFS(Data!$N:$N,Data!$H:$H,$M14,Data!$E:$E,P$9,Data!$C:$C,$N$6,Data!$F:$F,P$10)</f>
        <v>0</v>
      </c>
      <c r="Q14" s="83">
        <f>SUMIFS(Data!$N:$N,Data!$H:$H,$M14,Data!$E:$E,Q$9,Data!$C:$C,$N$6,Data!$F:$F,Q$10)</f>
        <v>0</v>
      </c>
      <c r="R14" s="83">
        <f>SUMIFS(Data!$N:$N,Data!$H:$H,$M14,Data!$E:$E,R$9,Data!$C:$C,$N$6,Data!$F:$F,R$10)</f>
        <v>0</v>
      </c>
      <c r="S14" s="83">
        <f>SUMIFS(Data!$N:$N,Data!$H:$H,$M14,Data!$E:$E,S$9,Data!$C:$C,$N$6,Data!$F:$F,S$10)</f>
        <v>0</v>
      </c>
      <c r="T14" s="83">
        <f>SUMIFS(Data!$N:$N,Data!$H:$H,$M14,Data!$E:$E,T$9,Data!$C:$C,$N$6,Data!$F:$F,T$10)</f>
        <v>0</v>
      </c>
      <c r="U14" s="83">
        <f>SUMIFS(Data!$N:$N,Data!$H:$H,$M14,Data!$E:$E,U$9,Data!$C:$C,$N$6,Data!$F:$F,U$10)</f>
        <v>0</v>
      </c>
      <c r="X14" s="1"/>
      <c r="Y14" s="10"/>
      <c r="Z14" s="16"/>
      <c r="AA14" s="10"/>
      <c r="AB14" s="22"/>
      <c r="AC14" s="13"/>
      <c r="AK14" s="14"/>
    </row>
    <row r="15" spans="1:37" ht="15.75" customHeight="1" thickTop="1" thickBot="1" x14ac:dyDescent="0.25">
      <c r="A15" s="1"/>
      <c r="B15" s="81" t="s">
        <v>67</v>
      </c>
      <c r="C15" s="82">
        <f t="shared" ref="C15:J15" si="6">SUM(C11:C14)</f>
        <v>1973.8563954760004</v>
      </c>
      <c r="D15" s="82">
        <f t="shared" si="6"/>
        <v>3137.572015532</v>
      </c>
      <c r="E15" s="82">
        <f t="shared" si="6"/>
        <v>4170.6249079600002</v>
      </c>
      <c r="F15" s="82">
        <f t="shared" si="6"/>
        <v>3630.642508982849</v>
      </c>
      <c r="G15" s="82">
        <f t="shared" si="6"/>
        <v>0</v>
      </c>
      <c r="H15" s="82">
        <f t="shared" si="6"/>
        <v>0</v>
      </c>
      <c r="I15" s="82">
        <f t="shared" si="6"/>
        <v>0</v>
      </c>
      <c r="J15" s="82">
        <f t="shared" si="6"/>
        <v>0</v>
      </c>
      <c r="L15" s="1"/>
      <c r="M15" s="81" t="s">
        <v>67</v>
      </c>
      <c r="N15" s="82">
        <f t="shared" ref="N15:U15" si="7">SUM(N11:N14)</f>
        <v>1800.7857370000002</v>
      </c>
      <c r="O15" s="82">
        <f t="shared" si="7"/>
        <v>2947.1922080000004</v>
      </c>
      <c r="P15" s="82">
        <f t="shared" si="7"/>
        <v>4015.4831199999999</v>
      </c>
      <c r="Q15" s="82">
        <f t="shared" si="7"/>
        <v>3475.1864850000002</v>
      </c>
      <c r="R15" s="82">
        <f t="shared" si="7"/>
        <v>0</v>
      </c>
      <c r="S15" s="82">
        <f t="shared" si="7"/>
        <v>0</v>
      </c>
      <c r="T15" s="82">
        <f t="shared" si="7"/>
        <v>0</v>
      </c>
      <c r="U15" s="82">
        <f t="shared" si="7"/>
        <v>0</v>
      </c>
      <c r="X15" s="1"/>
      <c r="Y15" s="9"/>
      <c r="Z15" s="9"/>
      <c r="AA15" s="9"/>
      <c r="AB15" s="18"/>
      <c r="AC15" s="29"/>
    </row>
    <row r="16" spans="1:37" ht="15.75" customHeight="1" thickTop="1" thickBot="1" x14ac:dyDescent="0.25">
      <c r="A16" s="1"/>
      <c r="B16" s="313" t="s">
        <v>28</v>
      </c>
      <c r="C16" s="315"/>
      <c r="D16" s="315"/>
      <c r="E16" s="315"/>
      <c r="F16" s="315"/>
      <c r="G16" s="315"/>
      <c r="H16" s="315"/>
      <c r="I16" s="315"/>
      <c r="J16" s="315"/>
      <c r="L16" s="1"/>
      <c r="M16" s="313" t="s">
        <v>28</v>
      </c>
      <c r="N16" s="315"/>
      <c r="O16" s="315"/>
      <c r="P16" s="315"/>
      <c r="Q16" s="315"/>
      <c r="R16" s="315"/>
      <c r="S16" s="315"/>
      <c r="T16" s="315"/>
      <c r="U16" s="315"/>
      <c r="X16" s="1"/>
      <c r="Y16" s="9"/>
      <c r="Z16" s="9"/>
      <c r="AA16" s="9"/>
      <c r="AB16" s="9"/>
      <c r="AC16" s="9"/>
    </row>
    <row r="17" spans="1:37" ht="15.75" customHeight="1" thickTop="1" thickBot="1" x14ac:dyDescent="0.25">
      <c r="A17" s="1"/>
      <c r="B17" s="69" t="s">
        <v>29</v>
      </c>
      <c r="C17" s="83">
        <f>SUMIFS(Data!$N:$N,Data!$H:$H,$B17,Data!$E:$E,C$9,Data!$F:$F,C$10)</f>
        <v>21958.278586705997</v>
      </c>
      <c r="D17" s="83">
        <f>SUMIFS(Data!$N:$N,Data!$H:$H,$B17,Data!$E:$E,D$9,Data!$F:$F,D$10)</f>
        <v>25545.847421663999</v>
      </c>
      <c r="E17" s="83">
        <f>SUMIFS(Data!$N:$N,Data!$H:$H,$B17,Data!$E:$E,E$9,Data!$F:$F,E$10)</f>
        <v>40.356034575999992</v>
      </c>
      <c r="F17" s="83">
        <f>SUMIFS(Data!$N:$N,Data!$H:$H,$B17,Data!$E:$E,F$9,Data!$F:$F,F$10)</f>
        <v>29.013579563654396</v>
      </c>
      <c r="G17" s="83">
        <f>SUMIFS(Data!$N:$N,Data!$H:$H,$B17,Data!$E:$E,G$9,Data!$F:$F,G$10)</f>
        <v>0</v>
      </c>
      <c r="H17" s="83">
        <f>SUMIFS(Data!$N:$N,Data!$H:$H,$B17,Data!$E:$E,H$9,Data!$F:$F,H$10)</f>
        <v>0</v>
      </c>
      <c r="I17" s="83">
        <f>SUMIFS(Data!$N:$N,Data!$H:$H,$B17,Data!$E:$E,I$9,Data!$F:$F,I$10)</f>
        <v>0</v>
      </c>
      <c r="J17" s="83">
        <f>SUMIFS(Data!$N:$N,Data!$H:$H,$B17,Data!$E:$E,J$9,Data!$F:$F,J$10)</f>
        <v>0</v>
      </c>
      <c r="L17" s="1"/>
      <c r="M17" s="69" t="s">
        <v>29</v>
      </c>
      <c r="N17" s="83">
        <f>SUMIFS(Data!$N:$N,Data!$H:$H,$M17,Data!$E:$E,N$9,Data!$C:$C,$N$6,Data!$F:$F,N$10)</f>
        <v>21898.162109999997</v>
      </c>
      <c r="O17" s="83">
        <f>SUMIFS(Data!$N:$N,Data!$H:$H,$M17,Data!$E:$E,O$9,Data!$C:$C,$N$6,Data!$F:$F,O$10)</f>
        <v>25498.841656000001</v>
      </c>
      <c r="P17" s="83">
        <f>SUMIFS(Data!$N:$N,Data!$H:$H,$M17,Data!$E:$E,P$9,Data!$C:$C,$N$6,Data!$F:$F,P$10)</f>
        <v>0</v>
      </c>
      <c r="Q17" s="83">
        <f>SUMIFS(Data!$N:$N,Data!$H:$H,$M17,Data!$E:$E,Q$9,Data!$C:$C,$N$6,Data!$F:$F,Q$10)</f>
        <v>0</v>
      </c>
      <c r="R17" s="83">
        <f>SUMIFS(Data!$N:$N,Data!$H:$H,$M17,Data!$E:$E,R$9,Data!$C:$C,$N$6,Data!$F:$F,R$10)</f>
        <v>0</v>
      </c>
      <c r="S17" s="83">
        <f>SUMIFS(Data!$N:$N,Data!$H:$H,$M17,Data!$E:$E,S$9,Data!$C:$C,$N$6,Data!$F:$F,S$10)</f>
        <v>0</v>
      </c>
      <c r="T17" s="83">
        <f>SUMIFS(Data!$N:$N,Data!$H:$H,$M17,Data!$E:$E,T$9,Data!$C:$C,$N$6,Data!$F:$F,T$10)</f>
        <v>0</v>
      </c>
      <c r="U17" s="83">
        <f>SUMIFS(Data!$N:$N,Data!$H:$H,$M17,Data!$E:$E,U$9,Data!$C:$C,$N$6,Data!$F:$F,U$10)</f>
        <v>0</v>
      </c>
      <c r="X17" s="1"/>
      <c r="Y17" s="1"/>
      <c r="Z17" s="1"/>
      <c r="AA17" s="1"/>
      <c r="AB17" s="12"/>
      <c r="AC17" s="9"/>
    </row>
    <row r="18" spans="1:37" ht="15.75" customHeight="1" thickTop="1" thickBot="1" x14ac:dyDescent="0.25">
      <c r="A18" s="1"/>
      <c r="B18" s="69" t="s">
        <v>31</v>
      </c>
      <c r="C18" s="83">
        <f>SUMIFS(Data!$N:$N,Data!$H:$H,$B18,Data!$E:$E,C$9,Data!$F:$F,C$10)</f>
        <v>0</v>
      </c>
      <c r="D18" s="83">
        <f>SUMIFS(Data!$N:$N,Data!$H:$H,$B18,Data!$E:$E,D$9,Data!$F:$F,D$10)</f>
        <v>0</v>
      </c>
      <c r="E18" s="83">
        <f>SUMIFS(Data!$N:$N,Data!$H:$H,$B18,Data!$E:$E,E$9,Data!$F:$F,E$10)</f>
        <v>0</v>
      </c>
      <c r="F18" s="83">
        <f>SUMIFS(Data!$N:$N,Data!$H:$H,$B18,Data!$E:$E,F$9,Data!$F:$F,F$10)</f>
        <v>0</v>
      </c>
      <c r="G18" s="83">
        <f>SUMIFS(Data!$N:$N,Data!$H:$H,$B18,Data!$E:$E,G$9,Data!$F:$F,G$10)</f>
        <v>0</v>
      </c>
      <c r="H18" s="83">
        <f>SUMIFS(Data!$N:$N,Data!$H:$H,$B18,Data!$E:$E,H$9,Data!$F:$F,H$10)</f>
        <v>0</v>
      </c>
      <c r="I18" s="83">
        <f>SUMIFS(Data!$N:$N,Data!$H:$H,$B18,Data!$E:$E,I$9,Data!$F:$F,I$10)</f>
        <v>0</v>
      </c>
      <c r="J18" s="83">
        <f>SUMIFS(Data!$N:$N,Data!$H:$H,$B18,Data!$E:$E,J$9,Data!$F:$F,J$10)</f>
        <v>0</v>
      </c>
      <c r="L18" s="1"/>
      <c r="M18" s="69" t="s">
        <v>31</v>
      </c>
      <c r="N18" s="83">
        <f>SUMIFS(Data!$N:$N,Data!$H:$H,$M18,Data!$E:$E,N$9,Data!$C:$C,$N$6,Data!$F:$F,N$10)</f>
        <v>0</v>
      </c>
      <c r="O18" s="83">
        <f>SUMIFS(Data!$N:$N,Data!$H:$H,$M18,Data!$E:$E,O$9,Data!$C:$C,$N$6,Data!$F:$F,O$10)</f>
        <v>0</v>
      </c>
      <c r="P18" s="83">
        <f>SUMIFS(Data!$N:$N,Data!$H:$H,$M18,Data!$E:$E,P$9,Data!$C:$C,$N$6,Data!$F:$F,P$10)</f>
        <v>0</v>
      </c>
      <c r="Q18" s="83">
        <f>SUMIFS(Data!$N:$N,Data!$H:$H,$M18,Data!$E:$E,Q$9,Data!$C:$C,$N$6,Data!$F:$F,Q$10)</f>
        <v>0</v>
      </c>
      <c r="R18" s="83">
        <f>SUMIFS(Data!$N:$N,Data!$H:$H,$M18,Data!$E:$E,R$9,Data!$C:$C,$N$6,Data!$F:$F,R$10)</f>
        <v>0</v>
      </c>
      <c r="S18" s="83">
        <f>SUMIFS(Data!$N:$N,Data!$H:$H,$M18,Data!$E:$E,S$9,Data!$C:$C,$N$6,Data!$F:$F,S$10)</f>
        <v>0</v>
      </c>
      <c r="T18" s="83">
        <f>SUMIFS(Data!$N:$N,Data!$H:$H,$M18,Data!$E:$E,T$9,Data!$C:$C,$N$6,Data!$F:$F,T$10)</f>
        <v>0</v>
      </c>
      <c r="U18" s="83">
        <f>SUMIFS(Data!$N:$N,Data!$H:$H,$M18,Data!$E:$E,U$9,Data!$C:$C,$N$6,Data!$F:$F,U$10)</f>
        <v>0</v>
      </c>
      <c r="X18" s="1"/>
      <c r="Y18" s="1"/>
      <c r="Z18" s="1"/>
      <c r="AA18" s="1"/>
      <c r="AB18" s="12"/>
      <c r="AC18" s="9"/>
    </row>
    <row r="19" spans="1:37" ht="15.75" customHeight="1" thickTop="1" thickBot="1" x14ac:dyDescent="0.25">
      <c r="A19" s="1"/>
      <c r="B19" s="69" t="s">
        <v>32</v>
      </c>
      <c r="C19" s="83">
        <f>SUMIFS(Data!$N:$N,Data!$H:$H,$B19,Data!$E:$E,C$9,Data!$F:$F,C$10)</f>
        <v>0.101235563</v>
      </c>
      <c r="D19" s="83">
        <f>SUMIFS(Data!$N:$N,Data!$H:$H,$B19,Data!$E:$E,D$9,Data!$F:$F,D$10)</f>
        <v>0.33557769199999998</v>
      </c>
      <c r="E19" s="83">
        <f>SUMIFS(Data!$N:$N,Data!$H:$H,$B19,Data!$E:$E,E$9,Data!$F:$F,E$10)</f>
        <v>0.44997135600000004</v>
      </c>
      <c r="F19" s="83">
        <f>SUMIFS(Data!$N:$N,Data!$H:$H,$B19,Data!$E:$E,F$9,Data!$F:$F,F$10)</f>
        <v>1.286876541</v>
      </c>
      <c r="G19" s="83">
        <f>SUMIFS(Data!$N:$N,Data!$H:$H,$B19,Data!$E:$E,G$9,Data!$F:$F,G$10)</f>
        <v>0</v>
      </c>
      <c r="H19" s="83">
        <f>SUMIFS(Data!$N:$N,Data!$H:$H,$B19,Data!$E:$E,H$9,Data!$F:$F,H$10)</f>
        <v>0</v>
      </c>
      <c r="I19" s="83">
        <f>SUMIFS(Data!$N:$N,Data!$H:$H,$B19,Data!$E:$E,I$9,Data!$F:$F,I$10)</f>
        <v>0</v>
      </c>
      <c r="J19" s="83">
        <f>SUMIFS(Data!$N:$N,Data!$H:$H,$B19,Data!$E:$E,J$9,Data!$F:$F,J$10)</f>
        <v>0</v>
      </c>
      <c r="L19" s="1"/>
      <c r="M19" s="69" t="s">
        <v>32</v>
      </c>
      <c r="N19" s="83">
        <f>SUMIFS(Data!$N:$N,Data!$H:$H,$M19,Data!$E:$E,N$9,Data!$C:$C,$N$6,Data!$F:$F,N$10)</f>
        <v>9.2807000000000001E-2</v>
      </c>
      <c r="O19" s="83">
        <f>SUMIFS(Data!$N:$N,Data!$H:$H,$M19,Data!$E:$E,O$9,Data!$C:$C,$N$6,Data!$F:$F,O$10)</f>
        <v>0.212948</v>
      </c>
      <c r="P19" s="83">
        <f>SUMIFS(Data!$N:$N,Data!$H:$H,$M19,Data!$E:$E,P$9,Data!$C:$C,$N$6,Data!$F:$F,P$10)</f>
        <v>0</v>
      </c>
      <c r="Q19" s="83">
        <f>SUMIFS(Data!$N:$N,Data!$H:$H,$M19,Data!$E:$E,Q$9,Data!$C:$C,$N$6,Data!$F:$F,Q$10)</f>
        <v>0</v>
      </c>
      <c r="R19" s="83">
        <f>SUMIFS(Data!$N:$N,Data!$H:$H,$M19,Data!$E:$E,R$9,Data!$C:$C,$N$6,Data!$F:$F,R$10)</f>
        <v>0</v>
      </c>
      <c r="S19" s="83">
        <f>SUMIFS(Data!$N:$N,Data!$H:$H,$M19,Data!$E:$E,S$9,Data!$C:$C,$N$6,Data!$F:$F,S$10)</f>
        <v>0</v>
      </c>
      <c r="T19" s="83">
        <f>SUMIFS(Data!$N:$N,Data!$H:$H,$M19,Data!$E:$E,T$9,Data!$C:$C,$N$6,Data!$F:$F,T$10)</f>
        <v>0</v>
      </c>
      <c r="U19" s="83">
        <f>SUMIFS(Data!$N:$N,Data!$H:$H,$M19,Data!$E:$E,U$9,Data!$C:$C,$N$6,Data!$F:$F,U$10)</f>
        <v>0</v>
      </c>
      <c r="X19" s="1"/>
      <c r="Y19" s="1"/>
      <c r="Z19" s="1"/>
      <c r="AA19" s="1"/>
      <c r="AB19" s="12"/>
      <c r="AC19" s="9"/>
    </row>
    <row r="20" spans="1:37" ht="15.75" customHeight="1" thickTop="1" thickBot="1" x14ac:dyDescent="0.25">
      <c r="A20" s="1"/>
      <c r="B20" s="69" t="s">
        <v>33</v>
      </c>
      <c r="C20" s="83">
        <f>SUMIFS(Data!$N:$N,Data!$H:$H,$B20,Data!$E:$E,C$9,Data!$F:$F,C$10)</f>
        <v>0</v>
      </c>
      <c r="D20" s="83">
        <f>SUMIFS(Data!$N:$N,Data!$H:$H,$B20,Data!$E:$E,D$9,Data!$F:$F,D$10)</f>
        <v>0</v>
      </c>
      <c r="E20" s="83">
        <f>SUMIFS(Data!$N:$N,Data!$H:$H,$B20,Data!$E:$E,E$9,Data!$F:$F,E$10)</f>
        <v>0</v>
      </c>
      <c r="F20" s="83">
        <f>SUMIFS(Data!$N:$N,Data!$H:$H,$B20,Data!$E:$E,F$9,Data!$F:$F,F$10)</f>
        <v>0</v>
      </c>
      <c r="G20" s="83">
        <f>SUMIFS(Data!$N:$N,Data!$H:$H,$B20,Data!$E:$E,G$9,Data!$F:$F,G$10)</f>
        <v>0</v>
      </c>
      <c r="H20" s="83">
        <f>SUMIFS(Data!$N:$N,Data!$H:$H,$B20,Data!$E:$E,H$9,Data!$F:$F,H$10)</f>
        <v>0</v>
      </c>
      <c r="I20" s="83">
        <f>SUMIFS(Data!$N:$N,Data!$H:$H,$B20,Data!$E:$E,I$9,Data!$F:$F,I$10)</f>
        <v>0</v>
      </c>
      <c r="J20" s="83">
        <f>SUMIFS(Data!$N:$N,Data!$H:$H,$B20,Data!$E:$E,J$9,Data!$F:$F,J$10)</f>
        <v>0</v>
      </c>
      <c r="L20" s="1"/>
      <c r="M20" s="69" t="s">
        <v>33</v>
      </c>
      <c r="N20" s="83">
        <f>SUMIFS(Data!$N:$N,Data!$H:$H,$M20,Data!$E:$E,N$9,Data!$C:$C,$N$6,Data!$F:$F,N$10)</f>
        <v>0</v>
      </c>
      <c r="O20" s="83">
        <f>SUMIFS(Data!$N:$N,Data!$H:$H,$M20,Data!$E:$E,O$9,Data!$C:$C,$N$6,Data!$F:$F,O$10)</f>
        <v>0</v>
      </c>
      <c r="P20" s="83">
        <f>SUMIFS(Data!$N:$N,Data!$H:$H,$M20,Data!$E:$E,P$9,Data!$C:$C,$N$6,Data!$F:$F,P$10)</f>
        <v>0</v>
      </c>
      <c r="Q20" s="83">
        <f>SUMIFS(Data!$N:$N,Data!$H:$H,$M20,Data!$E:$E,Q$9,Data!$C:$C,$N$6,Data!$F:$F,Q$10)</f>
        <v>0</v>
      </c>
      <c r="R20" s="83">
        <f>SUMIFS(Data!$N:$N,Data!$H:$H,$M20,Data!$E:$E,R$9,Data!$C:$C,$N$6,Data!$F:$F,R$10)</f>
        <v>0</v>
      </c>
      <c r="S20" s="83">
        <f>SUMIFS(Data!$N:$N,Data!$H:$H,$M20,Data!$E:$E,S$9,Data!$C:$C,$N$6,Data!$F:$F,S$10)</f>
        <v>0</v>
      </c>
      <c r="T20" s="83">
        <f>SUMIFS(Data!$N:$N,Data!$H:$H,$M20,Data!$E:$E,T$9,Data!$C:$C,$N$6,Data!$F:$F,T$10)</f>
        <v>0</v>
      </c>
      <c r="U20" s="83">
        <f>SUMIFS(Data!$N:$N,Data!$H:$H,$M20,Data!$E:$E,U$9,Data!$C:$C,$N$6,Data!$F:$F,U$10)</f>
        <v>0</v>
      </c>
      <c r="X20" s="1"/>
      <c r="Y20" s="1"/>
      <c r="Z20" s="1"/>
      <c r="AA20" s="1"/>
      <c r="AB20" s="12"/>
      <c r="AC20" s="9"/>
    </row>
    <row r="21" spans="1:37" ht="15.75" customHeight="1" thickTop="1" thickBot="1" x14ac:dyDescent="0.25">
      <c r="A21" s="1"/>
      <c r="B21" s="69" t="s">
        <v>35</v>
      </c>
      <c r="C21" s="83">
        <f>SUMIFS(Data!$N:$N,Data!$H:$H,$B21,Data!$E:$E,C$9,Data!$F:$F,C$10)</f>
        <v>0</v>
      </c>
      <c r="D21" s="83">
        <f>SUMIFS(Data!$N:$N,Data!$H:$H,$B21,Data!$E:$E,D$9,Data!$F:$F,D$10)</f>
        <v>0</v>
      </c>
      <c r="E21" s="83">
        <f>SUMIFS(Data!$N:$N,Data!$H:$H,$B21,Data!$E:$E,E$9,Data!$F:$F,E$10)</f>
        <v>0</v>
      </c>
      <c r="F21" s="83">
        <f>SUMIFS(Data!$N:$N,Data!$H:$H,$B21,Data!$E:$E,F$9,Data!$F:$F,F$10)</f>
        <v>0</v>
      </c>
      <c r="G21" s="83">
        <f>SUMIFS(Data!$N:$N,Data!$H:$H,$B21,Data!$E:$E,G$9,Data!$F:$F,G$10)</f>
        <v>0</v>
      </c>
      <c r="H21" s="83">
        <f>SUMIFS(Data!$N:$N,Data!$H:$H,$B21,Data!$E:$E,H$9,Data!$F:$F,H$10)</f>
        <v>0</v>
      </c>
      <c r="I21" s="83">
        <f>SUMIFS(Data!$N:$N,Data!$H:$H,$B21,Data!$E:$E,I$9,Data!$F:$F,I$10)</f>
        <v>0</v>
      </c>
      <c r="J21" s="83">
        <f>SUMIFS(Data!$N:$N,Data!$H:$H,$B21,Data!$E:$E,J$9,Data!$F:$F,J$10)</f>
        <v>0</v>
      </c>
      <c r="L21" s="1"/>
      <c r="M21" s="69" t="s">
        <v>35</v>
      </c>
      <c r="N21" s="83">
        <f>SUMIFS(Data!$N:$N,Data!$H:$H,$M21,Data!$E:$E,N$9,Data!$C:$C,$N$6,Data!$F:$F,N$10)</f>
        <v>0</v>
      </c>
      <c r="O21" s="83">
        <f>SUMIFS(Data!$N:$N,Data!$H:$H,$M21,Data!$E:$E,O$9,Data!$C:$C,$N$6,Data!$F:$F,O$10)</f>
        <v>0</v>
      </c>
      <c r="P21" s="83">
        <f>SUMIFS(Data!$N:$N,Data!$H:$H,$M21,Data!$E:$E,P$9,Data!$C:$C,$N$6,Data!$F:$F,P$10)</f>
        <v>0</v>
      </c>
      <c r="Q21" s="83">
        <f>SUMIFS(Data!$N:$N,Data!$H:$H,$M21,Data!$E:$E,Q$9,Data!$C:$C,$N$6,Data!$F:$F,Q$10)</f>
        <v>0</v>
      </c>
      <c r="R21" s="83">
        <f>SUMIFS(Data!$N:$N,Data!$H:$H,$M21,Data!$E:$E,R$9,Data!$C:$C,$N$6,Data!$F:$F,R$10)</f>
        <v>0</v>
      </c>
      <c r="S21" s="83">
        <f>SUMIFS(Data!$N:$N,Data!$H:$H,$M21,Data!$E:$E,S$9,Data!$C:$C,$N$6,Data!$F:$F,S$10)</f>
        <v>0</v>
      </c>
      <c r="T21" s="83">
        <f>SUMIFS(Data!$N:$N,Data!$H:$H,$M21,Data!$E:$E,T$9,Data!$C:$C,$N$6,Data!$F:$F,T$10)</f>
        <v>0</v>
      </c>
      <c r="U21" s="83">
        <f>SUMIFS(Data!$N:$N,Data!$H:$H,$M21,Data!$E:$E,U$9,Data!$C:$C,$N$6,Data!$F:$F,U$10)</f>
        <v>0</v>
      </c>
      <c r="X21" s="1"/>
      <c r="Y21" s="1"/>
      <c r="Z21" s="1"/>
      <c r="AA21" s="1"/>
      <c r="AB21" s="12"/>
      <c r="AC21" s="9"/>
    </row>
    <row r="22" spans="1:37" ht="15.75" customHeight="1" thickTop="1" thickBot="1" x14ac:dyDescent="0.25">
      <c r="A22" s="1"/>
      <c r="B22" s="75" t="s">
        <v>68</v>
      </c>
      <c r="C22" s="76">
        <f>SUM(C17:C21)</f>
        <v>21958.379822268998</v>
      </c>
      <c r="D22" s="76">
        <f t="shared" ref="D22:J22" si="8">SUM(D17:D21)</f>
        <v>25546.182999355999</v>
      </c>
      <c r="E22" s="76">
        <f t="shared" ref="E22:I22" si="9">SUM(E17:E21)</f>
        <v>40.806005931999991</v>
      </c>
      <c r="F22" s="76">
        <f t="shared" si="9"/>
        <v>30.300456104654398</v>
      </c>
      <c r="G22" s="76">
        <f t="shared" si="9"/>
        <v>0</v>
      </c>
      <c r="H22" s="76">
        <f t="shared" si="9"/>
        <v>0</v>
      </c>
      <c r="I22" s="76">
        <f t="shared" si="9"/>
        <v>0</v>
      </c>
      <c r="J22" s="76">
        <f t="shared" si="8"/>
        <v>0</v>
      </c>
      <c r="L22" s="1"/>
      <c r="M22" s="75" t="s">
        <v>68</v>
      </c>
      <c r="N22" s="76">
        <f>SUM(N17:N21)</f>
        <v>21898.254916999998</v>
      </c>
      <c r="O22" s="76">
        <f t="shared" ref="O22:U22" si="10">SUM(O17:O21)</f>
        <v>25499.054604000001</v>
      </c>
      <c r="P22" s="76">
        <f t="shared" ref="P22:T22" si="11">SUM(P17:P21)</f>
        <v>0</v>
      </c>
      <c r="Q22" s="76">
        <f t="shared" si="11"/>
        <v>0</v>
      </c>
      <c r="R22" s="76">
        <f t="shared" si="11"/>
        <v>0</v>
      </c>
      <c r="S22" s="76">
        <f t="shared" si="11"/>
        <v>0</v>
      </c>
      <c r="T22" s="76">
        <f t="shared" si="11"/>
        <v>0</v>
      </c>
      <c r="U22" s="76">
        <f t="shared" si="10"/>
        <v>0</v>
      </c>
      <c r="X22" s="1"/>
      <c r="Y22" s="11"/>
      <c r="Z22" s="25"/>
      <c r="AA22" s="10"/>
      <c r="AB22" s="24"/>
      <c r="AC22" s="13"/>
      <c r="AK22" s="15"/>
    </row>
    <row r="23" spans="1:37" ht="15.75" customHeight="1" thickTop="1" thickBot="1" x14ac:dyDescent="0.25">
      <c r="A23" s="1"/>
      <c r="B23" s="316" t="s">
        <v>37</v>
      </c>
      <c r="C23" s="317"/>
      <c r="D23" s="317"/>
      <c r="E23" s="317"/>
      <c r="F23" s="317"/>
      <c r="G23" s="317"/>
      <c r="H23" s="317"/>
      <c r="I23" s="317"/>
      <c r="J23" s="317"/>
      <c r="L23" s="1"/>
      <c r="M23" s="316" t="s">
        <v>37</v>
      </c>
      <c r="N23" s="317"/>
      <c r="O23" s="317"/>
      <c r="P23" s="317"/>
      <c r="Q23" s="317"/>
      <c r="R23" s="317"/>
      <c r="S23" s="317"/>
      <c r="T23" s="317"/>
      <c r="U23" s="317"/>
      <c r="X23" s="1"/>
      <c r="Y23" s="11"/>
      <c r="Z23" s="25"/>
      <c r="AA23" s="10"/>
      <c r="AB23" s="24"/>
      <c r="AC23" s="13"/>
      <c r="AK23" s="15"/>
    </row>
    <row r="24" spans="1:37" ht="16.5" thickTop="1" thickBot="1" x14ac:dyDescent="0.25">
      <c r="A24" s="1"/>
      <c r="B24" s="72" t="s">
        <v>38</v>
      </c>
      <c r="C24" s="83">
        <f>SUMIFS(Data!$N:$N,Data!$H:$H,$B24,Data!$E:$E,C$9,Data!$F:$F,C$10)</f>
        <v>472.74983915789477</v>
      </c>
      <c r="D24" s="83">
        <f>SUMIFS(Data!$N:$N,Data!$H:$H,$B24,Data!$E:$E,D$9,Data!$F:$F,D$10)</f>
        <v>215.93746405263158</v>
      </c>
      <c r="E24" s="83">
        <f>SUMIFS(Data!$N:$N,Data!$H:$H,$B24,Data!$E:$E,E$9,Data!$F:$F,E$10)</f>
        <v>36.943759894736843</v>
      </c>
      <c r="F24" s="83">
        <f>SUMIFS(Data!$N:$N,Data!$H:$H,$B24,Data!$E:$E,F$9,Data!$F:$F,F$10)</f>
        <v>58.353882203789475</v>
      </c>
      <c r="G24" s="83">
        <f>SUMIFS(Data!$N:$N,Data!$H:$H,$B24,Data!$E:$E,G$9,Data!$F:$F,G$10)</f>
        <v>0</v>
      </c>
      <c r="H24" s="83">
        <f>SUMIFS(Data!$N:$N,Data!$H:$H,$B24,Data!$E:$E,H$9,Data!$F:$F,H$10)</f>
        <v>0</v>
      </c>
      <c r="I24" s="83">
        <f>SUMIFS(Data!$N:$N,Data!$H:$H,$B24,Data!$E:$E,I$9,Data!$F:$F,I$10)</f>
        <v>0</v>
      </c>
      <c r="J24" s="83">
        <f>SUMIFS(Data!$N:$N,Data!$H:$H,$B24,Data!$E:$E,J$9,Data!$F:$F,J$10)</f>
        <v>0</v>
      </c>
      <c r="L24" s="1"/>
      <c r="M24" s="72" t="s">
        <v>38</v>
      </c>
      <c r="N24" s="83">
        <f>SUMIFS(Data!$N:$N,Data!$H:$H,$M24,Data!$E:$E,N$9,Data!$C:$C,$N$6,Data!$F:$F,N$10)</f>
        <v>466.12148000000002</v>
      </c>
      <c r="O24" s="83">
        <f>SUMIFS(Data!$N:$N,Data!$H:$H,$M24,Data!$E:$E,O$9,Data!$C:$C,$N$6,Data!$F:$F,O$10)</f>
        <v>212.33004</v>
      </c>
      <c r="P24" s="83">
        <f>SUMIFS(Data!$N:$N,Data!$H:$H,$M24,Data!$E:$E,P$9,Data!$C:$C,$N$6,Data!$F:$F,P$10)</f>
        <v>33.370739999999998</v>
      </c>
      <c r="Q24" s="83">
        <f>SUMIFS(Data!$N:$N,Data!$H:$H,$M24,Data!$E:$E,Q$9,Data!$C:$C,$N$6,Data!$F:$F,Q$10)</f>
        <v>54.256160000000001</v>
      </c>
      <c r="R24" s="83">
        <f>SUMIFS(Data!$N:$N,Data!$H:$H,$M24,Data!$E:$E,R$9,Data!$C:$C,$N$6,Data!$F:$F,R$10)</f>
        <v>0</v>
      </c>
      <c r="S24" s="83">
        <f>SUMIFS(Data!$N:$N,Data!$H:$H,$M24,Data!$E:$E,S$9,Data!$C:$C,$N$6,Data!$F:$F,S$10)</f>
        <v>0</v>
      </c>
      <c r="T24" s="83">
        <f>SUMIFS(Data!$N:$N,Data!$H:$H,$M24,Data!$E:$E,T$9,Data!$C:$C,$N$6,Data!$F:$F,T$10)</f>
        <v>0</v>
      </c>
      <c r="U24" s="83">
        <f>SUMIFS(Data!$N:$N,Data!$H:$H,$M24,Data!$E:$E,U$9,Data!$C:$C,$N$6,Data!$F:$F,U$10)</f>
        <v>0</v>
      </c>
      <c r="X24" s="1"/>
      <c r="Y24" s="20"/>
      <c r="Z24" s="23"/>
      <c r="AA24" s="20"/>
      <c r="AB24" s="21"/>
      <c r="AC24" s="21"/>
      <c r="AK24" s="15"/>
    </row>
    <row r="25" spans="1:37" ht="16.5" thickTop="1" thickBot="1" x14ac:dyDescent="0.25">
      <c r="A25" s="1"/>
      <c r="B25" s="72" t="s">
        <v>40</v>
      </c>
      <c r="C25" s="83">
        <f>SUMIFS(Data!$N:$N,Data!$H:$H,$B25,Data!$E:$E,C$9,Data!$F:$F,C$10)</f>
        <v>1.8301680000000001E-2</v>
      </c>
      <c r="D25" s="83">
        <f>SUMIFS(Data!$N:$N,Data!$H:$H,$B25,Data!$E:$E,D$9,Data!$F:$F,D$10)</f>
        <v>1.3852800000000002E-2</v>
      </c>
      <c r="E25" s="83">
        <f>SUMIFS(Data!$N:$N,Data!$H:$H,$B25,Data!$E:$E,E$9,Data!$F:$F,E$10)</f>
        <v>2.0241999000000002</v>
      </c>
      <c r="F25" s="83">
        <f>SUMIFS(Data!$N:$N,Data!$H:$H,$B25,Data!$E:$E,F$9,Data!$F:$F,F$10)</f>
        <v>5.2424102307692317</v>
      </c>
      <c r="G25" s="83">
        <f>SUMIFS(Data!$N:$N,Data!$H:$H,$B25,Data!$E:$E,G$9,Data!$F:$F,G$10)</f>
        <v>0</v>
      </c>
      <c r="H25" s="83">
        <f>SUMIFS(Data!$N:$N,Data!$H:$H,$B25,Data!$E:$E,H$9,Data!$F:$F,H$10)</f>
        <v>0</v>
      </c>
      <c r="I25" s="83">
        <f>SUMIFS(Data!$N:$N,Data!$H:$H,$B25,Data!$E:$E,I$9,Data!$F:$F,I$10)</f>
        <v>0</v>
      </c>
      <c r="J25" s="83">
        <f>SUMIFS(Data!$N:$N,Data!$H:$H,$B25,Data!$E:$E,J$9,Data!$F:$F,J$10)</f>
        <v>0</v>
      </c>
      <c r="L25" s="1"/>
      <c r="M25" s="72" t="s">
        <v>40</v>
      </c>
      <c r="N25" s="83">
        <f>SUMIFS(Data!$N:$N,Data!$H:$H,$M25,Data!$E:$E,N$9,Data!$C:$C,$N$6,Data!$F:$F,N$10)</f>
        <v>0</v>
      </c>
      <c r="O25" s="83">
        <f>SUMIFS(Data!$N:$N,Data!$H:$H,$M25,Data!$E:$E,O$9,Data!$C:$C,$N$6,Data!$F:$F,O$10)</f>
        <v>0</v>
      </c>
      <c r="P25" s="83">
        <f>SUMIFS(Data!$N:$N,Data!$H:$H,$M25,Data!$E:$E,P$9,Data!$C:$C,$N$6,Data!$F:$F,P$10)</f>
        <v>2.0046750000000002</v>
      </c>
      <c r="Q25" s="83">
        <f>SUMIFS(Data!$N:$N,Data!$H:$H,$M25,Data!$E:$E,Q$9,Data!$C:$C,$N$6,Data!$F:$F,Q$10)</f>
        <v>5.1425850000000004</v>
      </c>
      <c r="R25" s="83">
        <f>SUMIFS(Data!$N:$N,Data!$H:$H,$M25,Data!$E:$E,R$9,Data!$C:$C,$N$6,Data!$F:$F,R$10)</f>
        <v>0</v>
      </c>
      <c r="S25" s="83">
        <f>SUMIFS(Data!$N:$N,Data!$H:$H,$M25,Data!$E:$E,S$9,Data!$C:$C,$N$6,Data!$F:$F,S$10)</f>
        <v>0</v>
      </c>
      <c r="T25" s="83">
        <f>SUMIFS(Data!$N:$N,Data!$H:$H,$M25,Data!$E:$E,T$9,Data!$C:$C,$N$6,Data!$F:$F,T$10)</f>
        <v>0</v>
      </c>
      <c r="U25" s="83">
        <f>SUMIFS(Data!$N:$N,Data!$H:$H,$M25,Data!$E:$E,U$9,Data!$C:$C,$N$6,Data!$F:$F,U$10)</f>
        <v>0</v>
      </c>
      <c r="X25" s="1"/>
      <c r="Y25" s="20"/>
      <c r="Z25" s="23"/>
      <c r="AA25" s="20"/>
      <c r="AB25" s="21"/>
      <c r="AC25" s="21"/>
      <c r="AK25" s="15"/>
    </row>
    <row r="26" spans="1:37" ht="16.5" thickTop="1" thickBot="1" x14ac:dyDescent="0.25">
      <c r="A26" s="1"/>
      <c r="B26" s="72" t="s">
        <v>41</v>
      </c>
      <c r="C26" s="83">
        <f>SUMIFS(Data!$N:$N,Data!$H:$H,$B26,Data!$E:$E,C$9,Data!$F:$F,C$10)</f>
        <v>9.8106000000000009</v>
      </c>
      <c r="D26" s="83">
        <f>SUMIFS(Data!$N:$N,Data!$H:$H,$B26,Data!$E:$E,D$9,Data!$F:$F,D$10)</f>
        <v>0</v>
      </c>
      <c r="E26" s="83">
        <f>SUMIFS(Data!$N:$N,Data!$H:$H,$B26,Data!$E:$E,E$9,Data!$F:$F,E$10)</f>
        <v>0</v>
      </c>
      <c r="F26" s="83">
        <f>SUMIFS(Data!$N:$N,Data!$H:$H,$B26,Data!$E:$E,F$9,Data!$F:$F,F$10)</f>
        <v>0</v>
      </c>
      <c r="G26" s="83">
        <f>SUMIFS(Data!$N:$N,Data!$H:$H,$B26,Data!$E:$E,G$9,Data!$F:$F,G$10)</f>
        <v>0</v>
      </c>
      <c r="H26" s="83">
        <f>SUMIFS(Data!$N:$N,Data!$H:$H,$B26,Data!$E:$E,H$9,Data!$F:$F,H$10)</f>
        <v>0</v>
      </c>
      <c r="I26" s="83">
        <f>SUMIFS(Data!$N:$N,Data!$H:$H,$B26,Data!$E:$E,I$9,Data!$F:$F,I$10)</f>
        <v>0</v>
      </c>
      <c r="J26" s="83">
        <f>SUMIFS(Data!$N:$N,Data!$H:$H,$B26,Data!$E:$E,J$9,Data!$F:$F,J$10)</f>
        <v>0</v>
      </c>
      <c r="L26" s="1"/>
      <c r="M26" s="72" t="s">
        <v>41</v>
      </c>
      <c r="N26" s="83">
        <f>SUMIFS(Data!$N:$N,Data!$H:$H,$M26,Data!$E:$E,N$9,Data!$C:$C,$N$6,Data!$F:$F,N$10)</f>
        <v>9.8106000000000009</v>
      </c>
      <c r="O26" s="83">
        <f>SUMIFS(Data!$N:$N,Data!$H:$H,$M26,Data!$E:$E,O$9,Data!$C:$C,$N$6,Data!$F:$F,O$10)</f>
        <v>0</v>
      </c>
      <c r="P26" s="83">
        <f>SUMIFS(Data!$N:$N,Data!$H:$H,$M26,Data!$E:$E,P$9,Data!$C:$C,$N$6,Data!$F:$F,P$10)</f>
        <v>0</v>
      </c>
      <c r="Q26" s="83">
        <f>SUMIFS(Data!$N:$N,Data!$H:$H,$M26,Data!$E:$E,Q$9,Data!$C:$C,$N$6,Data!$F:$F,Q$10)</f>
        <v>0</v>
      </c>
      <c r="R26" s="83">
        <f>SUMIFS(Data!$N:$N,Data!$H:$H,$M26,Data!$E:$E,R$9,Data!$C:$C,$N$6,Data!$F:$F,R$10)</f>
        <v>0</v>
      </c>
      <c r="S26" s="83">
        <f>SUMIFS(Data!$N:$N,Data!$H:$H,$M26,Data!$E:$E,S$9,Data!$C:$C,$N$6,Data!$F:$F,S$10)</f>
        <v>0</v>
      </c>
      <c r="T26" s="83">
        <f>SUMIFS(Data!$N:$N,Data!$H:$H,$M26,Data!$E:$E,T$9,Data!$C:$C,$N$6,Data!$F:$F,T$10)</f>
        <v>0</v>
      </c>
      <c r="U26" s="83">
        <f>SUMIFS(Data!$N:$N,Data!$H:$H,$M26,Data!$E:$E,U$9,Data!$C:$C,$N$6,Data!$F:$F,U$10)</f>
        <v>0</v>
      </c>
      <c r="X26" s="1"/>
      <c r="Y26" s="20"/>
      <c r="Z26" s="23"/>
      <c r="AA26" s="20"/>
      <c r="AB26" s="21"/>
      <c r="AC26" s="21"/>
      <c r="AK26" s="15"/>
    </row>
    <row r="27" spans="1:37" ht="16.5" thickTop="1" thickBot="1" x14ac:dyDescent="0.25">
      <c r="A27" s="1"/>
      <c r="B27" s="72" t="s">
        <v>42</v>
      </c>
      <c r="C27" s="83">
        <f>SUMIFS(Data!$N:$N,Data!$H:$H,$B27,Data!$E:$E,C$9,Data!$F:$F,C$10)</f>
        <v>2.308878</v>
      </c>
      <c r="D27" s="83">
        <f>SUMIFS(Data!$N:$N,Data!$H:$H,$B27,Data!$E:$E,D$9,Data!$F:$F,D$10)</f>
        <v>0.58211999999999997</v>
      </c>
      <c r="E27" s="83">
        <f>SUMIFS(Data!$N:$N,Data!$H:$H,$B27,Data!$E:$E,E$9,Data!$F:$F,E$10)</f>
        <v>0</v>
      </c>
      <c r="F27" s="83">
        <f>SUMIFS(Data!$N:$N,Data!$H:$H,$B27,Data!$E:$E,F$9,Data!$F:$F,F$10)</f>
        <v>5.8271616000000005E-2</v>
      </c>
      <c r="G27" s="83">
        <f>SUMIFS(Data!$N:$N,Data!$H:$H,$B27,Data!$E:$E,G$9,Data!$F:$F,G$10)</f>
        <v>0</v>
      </c>
      <c r="H27" s="83">
        <f>SUMIFS(Data!$N:$N,Data!$H:$H,$B27,Data!$E:$E,H$9,Data!$F:$F,H$10)</f>
        <v>0</v>
      </c>
      <c r="I27" s="83">
        <f>SUMIFS(Data!$N:$N,Data!$H:$H,$B27,Data!$E:$E,I$9,Data!$F:$F,I$10)</f>
        <v>0</v>
      </c>
      <c r="J27" s="83">
        <f>SUMIFS(Data!$N:$N,Data!$H:$H,$B27,Data!$E:$E,J$9,Data!$F:$F,J$10)</f>
        <v>0</v>
      </c>
      <c r="L27" s="1"/>
      <c r="M27" s="72" t="s">
        <v>42</v>
      </c>
      <c r="N27" s="83">
        <f>SUMIFS(Data!$N:$N,Data!$H:$H,$M27,Data!$E:$E,N$9,Data!$C:$C,$N$6,Data!$F:$F,N$10)</f>
        <v>2.308878</v>
      </c>
      <c r="O27" s="83">
        <f>SUMIFS(Data!$N:$N,Data!$H:$H,$M27,Data!$E:$E,O$9,Data!$C:$C,$N$6,Data!$F:$F,O$10)</f>
        <v>0.58211999999999997</v>
      </c>
      <c r="P27" s="83">
        <f>SUMIFS(Data!$N:$N,Data!$H:$H,$M27,Data!$E:$E,P$9,Data!$C:$C,$N$6,Data!$F:$F,P$10)</f>
        <v>0</v>
      </c>
      <c r="Q27" s="83">
        <f>SUMIFS(Data!$N:$N,Data!$H:$H,$M27,Data!$E:$E,Q$9,Data!$C:$C,$N$6,Data!$F:$F,Q$10)</f>
        <v>0</v>
      </c>
      <c r="R27" s="83">
        <f>SUMIFS(Data!$N:$N,Data!$H:$H,$M27,Data!$E:$E,R$9,Data!$C:$C,$N$6,Data!$F:$F,R$10)</f>
        <v>0</v>
      </c>
      <c r="S27" s="83">
        <f>SUMIFS(Data!$N:$N,Data!$H:$H,$M27,Data!$E:$E,S$9,Data!$C:$C,$N$6,Data!$F:$F,S$10)</f>
        <v>0</v>
      </c>
      <c r="T27" s="83">
        <f>SUMIFS(Data!$N:$N,Data!$H:$H,$M27,Data!$E:$E,T$9,Data!$C:$C,$N$6,Data!$F:$F,T$10)</f>
        <v>0</v>
      </c>
      <c r="U27" s="83">
        <f>SUMIFS(Data!$N:$N,Data!$H:$H,$M27,Data!$E:$E,U$9,Data!$C:$C,$N$6,Data!$F:$F,U$10)</f>
        <v>0</v>
      </c>
      <c r="X27" s="1"/>
      <c r="Y27" s="20"/>
      <c r="Z27" s="23"/>
      <c r="AA27" s="20"/>
      <c r="AB27" s="21"/>
      <c r="AC27" s="21"/>
      <c r="AK27" s="15"/>
    </row>
    <row r="28" spans="1:37" ht="16.5" thickTop="1" thickBot="1" x14ac:dyDescent="0.25">
      <c r="A28" s="1"/>
      <c r="B28" s="72" t="s">
        <v>43</v>
      </c>
      <c r="C28" s="83">
        <f>SUMIFS(Data!$N:$N,Data!$H:$H,$B28,Data!$E:$E,C$9,Data!$F:$F,C$10)</f>
        <v>1.1572</v>
      </c>
      <c r="D28" s="83">
        <f>SUMIFS(Data!$N:$N,Data!$H:$H,$B28,Data!$E:$E,D$9,Data!$F:$F,D$10)</f>
        <v>41.313400000000001</v>
      </c>
      <c r="E28" s="83">
        <f>SUMIFS(Data!$N:$N,Data!$H:$H,$B28,Data!$E:$E,E$9,Data!$F:$F,E$10)</f>
        <v>1.0012000000000001</v>
      </c>
      <c r="F28" s="83">
        <f>SUMIFS(Data!$N:$N,Data!$H:$H,$B28,Data!$E:$E,F$9,Data!$F:$F,F$10)</f>
        <v>3.6020928000000001E-2</v>
      </c>
      <c r="G28" s="83">
        <f>SUMIFS(Data!$N:$N,Data!$H:$H,$B28,Data!$E:$E,G$9,Data!$F:$F,G$10)</f>
        <v>0</v>
      </c>
      <c r="H28" s="83">
        <f>SUMIFS(Data!$N:$N,Data!$H:$H,$B28,Data!$E:$E,H$9,Data!$F:$F,H$10)</f>
        <v>0</v>
      </c>
      <c r="I28" s="83">
        <f>SUMIFS(Data!$N:$N,Data!$H:$H,$B28,Data!$E:$E,I$9,Data!$F:$F,I$10)</f>
        <v>0</v>
      </c>
      <c r="J28" s="83">
        <f>SUMIFS(Data!$N:$N,Data!$H:$H,$B28,Data!$E:$E,J$9,Data!$F:$F,J$10)</f>
        <v>0</v>
      </c>
      <c r="L28" s="1"/>
      <c r="M28" s="72" t="s">
        <v>43</v>
      </c>
      <c r="N28" s="83">
        <f>SUMIFS(Data!$N:$N,Data!$H:$H,$M28,Data!$E:$E,N$9,Data!$C:$C,$N$6,Data!$F:$F,N$10)</f>
        <v>1.1572</v>
      </c>
      <c r="O28" s="83">
        <f>SUMIFS(Data!$N:$N,Data!$H:$H,$M28,Data!$E:$E,O$9,Data!$C:$C,$N$6,Data!$F:$F,O$10)</f>
        <v>41.313400000000001</v>
      </c>
      <c r="P28" s="83">
        <f>SUMIFS(Data!$N:$N,Data!$H:$H,$M28,Data!$E:$E,P$9,Data!$C:$C,$N$6,Data!$F:$F,P$10)</f>
        <v>1.0012000000000001</v>
      </c>
      <c r="Q28" s="83">
        <f>SUMIFS(Data!$N:$N,Data!$H:$H,$M28,Data!$E:$E,Q$9,Data!$C:$C,$N$6,Data!$F:$F,Q$10)</f>
        <v>0</v>
      </c>
      <c r="R28" s="83">
        <f>SUMIFS(Data!$N:$N,Data!$H:$H,$M28,Data!$E:$E,R$9,Data!$C:$C,$N$6,Data!$F:$F,R$10)</f>
        <v>0</v>
      </c>
      <c r="S28" s="83">
        <f>SUMIFS(Data!$N:$N,Data!$H:$H,$M28,Data!$E:$E,S$9,Data!$C:$C,$N$6,Data!$F:$F,S$10)</f>
        <v>0</v>
      </c>
      <c r="T28" s="83">
        <f>SUMIFS(Data!$N:$N,Data!$H:$H,$M28,Data!$E:$E,T$9,Data!$C:$C,$N$6,Data!$F:$F,T$10)</f>
        <v>0</v>
      </c>
      <c r="U28" s="83">
        <f>SUMIFS(Data!$N:$N,Data!$H:$H,$M28,Data!$E:$E,U$9,Data!$C:$C,$N$6,Data!$F:$F,U$10)</f>
        <v>0</v>
      </c>
      <c r="X28" s="1"/>
      <c r="Y28" s="20"/>
      <c r="Z28" s="23"/>
      <c r="AA28" s="20"/>
      <c r="AB28" s="21"/>
      <c r="AC28" s="21"/>
      <c r="AK28" s="15"/>
    </row>
    <row r="29" spans="1:37" ht="16.5" thickTop="1" thickBot="1" x14ac:dyDescent="0.25">
      <c r="A29" s="1"/>
      <c r="B29" s="72" t="s">
        <v>44</v>
      </c>
      <c r="C29" s="83">
        <f>SUMIFS(Data!$N:$N,Data!$H:$H,$B29,Data!$E:$E,C$9,Data!$F:$F,C$10)</f>
        <v>25.956966000000001</v>
      </c>
      <c r="D29" s="83">
        <f>SUMIFS(Data!$N:$N,Data!$H:$H,$B29,Data!$E:$E,D$9,Data!$F:$F,D$10)</f>
        <v>8.6474220000000006</v>
      </c>
      <c r="E29" s="83">
        <f>SUMIFS(Data!$N:$N,Data!$H:$H,$B29,Data!$E:$E,E$9,Data!$F:$F,E$10)</f>
        <v>0</v>
      </c>
      <c r="F29" s="83">
        <f>SUMIFS(Data!$N:$N,Data!$H:$H,$B29,Data!$E:$E,F$9,Data!$F:$F,F$10)</f>
        <v>47.57414</v>
      </c>
      <c r="G29" s="83">
        <f>SUMIFS(Data!$N:$N,Data!$H:$H,$B29,Data!$E:$E,G$9,Data!$F:$F,G$10)</f>
        <v>0</v>
      </c>
      <c r="H29" s="83">
        <f>SUMIFS(Data!$N:$N,Data!$H:$H,$B29,Data!$E:$E,H$9,Data!$F:$F,H$10)</f>
        <v>0</v>
      </c>
      <c r="I29" s="83">
        <f>SUMIFS(Data!$N:$N,Data!$H:$H,$B29,Data!$E:$E,I$9,Data!$F:$F,I$10)</f>
        <v>0</v>
      </c>
      <c r="J29" s="83">
        <f>SUMIFS(Data!$N:$N,Data!$H:$H,$B29,Data!$E:$E,J$9,Data!$F:$F,J$10)</f>
        <v>0</v>
      </c>
      <c r="L29" s="1"/>
      <c r="M29" s="72" t="s">
        <v>44</v>
      </c>
      <c r="N29" s="83">
        <f>SUMIFS(Data!$N:$N,Data!$H:$H,$M29,Data!$E:$E,N$9,Data!$C:$C,$N$6,Data!$F:$F,N$10)</f>
        <v>25.956966000000001</v>
      </c>
      <c r="O29" s="83">
        <f>SUMIFS(Data!$N:$N,Data!$H:$H,$M29,Data!$E:$E,O$9,Data!$C:$C,$N$6,Data!$F:$F,O$10)</f>
        <v>8.6474220000000006</v>
      </c>
      <c r="P29" s="83">
        <f>SUMIFS(Data!$N:$N,Data!$H:$H,$M29,Data!$E:$E,P$9,Data!$C:$C,$N$6,Data!$F:$F,P$10)</f>
        <v>0</v>
      </c>
      <c r="Q29" s="83">
        <f>SUMIFS(Data!$N:$N,Data!$H:$H,$M29,Data!$E:$E,Q$9,Data!$C:$C,$N$6,Data!$F:$F,Q$10)</f>
        <v>47.57414</v>
      </c>
      <c r="R29" s="83">
        <f>SUMIFS(Data!$N:$N,Data!$H:$H,$M29,Data!$E:$E,R$9,Data!$C:$C,$N$6,Data!$F:$F,R$10)</f>
        <v>0</v>
      </c>
      <c r="S29" s="83">
        <f>SUMIFS(Data!$N:$N,Data!$H:$H,$M29,Data!$E:$E,S$9,Data!$C:$C,$N$6,Data!$F:$F,S$10)</f>
        <v>0</v>
      </c>
      <c r="T29" s="83">
        <f>SUMIFS(Data!$N:$N,Data!$H:$H,$M29,Data!$E:$E,T$9,Data!$C:$C,$N$6,Data!$F:$F,T$10)</f>
        <v>0</v>
      </c>
      <c r="U29" s="83">
        <f>SUMIFS(Data!$N:$N,Data!$H:$H,$M29,Data!$E:$E,U$9,Data!$C:$C,$N$6,Data!$F:$F,U$10)</f>
        <v>0</v>
      </c>
      <c r="X29" s="1"/>
      <c r="Y29" s="20"/>
      <c r="Z29" s="23"/>
      <c r="AA29" s="20"/>
      <c r="AB29" s="21"/>
      <c r="AC29" s="21"/>
      <c r="AK29" s="15"/>
    </row>
    <row r="30" spans="1:37" ht="15.75" customHeight="1" thickTop="1" thickBot="1" x14ac:dyDescent="0.25">
      <c r="A30" s="1"/>
      <c r="B30" s="75" t="s">
        <v>69</v>
      </c>
      <c r="C30" s="76">
        <f>SUM(C24:C29)</f>
        <v>512.00178483789477</v>
      </c>
      <c r="D30" s="76">
        <f t="shared" ref="D30:J30" si="12">SUM(D24:D29)</f>
        <v>266.49425885263156</v>
      </c>
      <c r="E30" s="76">
        <f t="shared" si="12"/>
        <v>39.969159794736839</v>
      </c>
      <c r="F30" s="76">
        <f t="shared" si="12"/>
        <v>111.2647249785587</v>
      </c>
      <c r="G30" s="76">
        <f t="shared" si="12"/>
        <v>0</v>
      </c>
      <c r="H30" s="76">
        <f t="shared" si="12"/>
        <v>0</v>
      </c>
      <c r="I30" s="76">
        <f t="shared" ref="I30" si="13">SUM(I24:I29)</f>
        <v>0</v>
      </c>
      <c r="J30" s="76">
        <f t="shared" si="12"/>
        <v>0</v>
      </c>
      <c r="L30" s="1"/>
      <c r="M30" s="75" t="s">
        <v>69</v>
      </c>
      <c r="N30" s="76">
        <f>SUM(N24:N29)</f>
        <v>505.35512400000005</v>
      </c>
      <c r="O30" s="76">
        <f t="shared" ref="O30:U30" si="14">SUM(O24:O29)</f>
        <v>262.87298199999998</v>
      </c>
      <c r="P30" s="76">
        <f t="shared" si="14"/>
        <v>36.376614999999994</v>
      </c>
      <c r="Q30" s="76">
        <f t="shared" si="14"/>
        <v>106.97288500000001</v>
      </c>
      <c r="R30" s="76">
        <f t="shared" si="14"/>
        <v>0</v>
      </c>
      <c r="S30" s="76">
        <f t="shared" si="14"/>
        <v>0</v>
      </c>
      <c r="T30" s="76">
        <f t="shared" ref="T30" si="15">SUM(T24:T29)</f>
        <v>0</v>
      </c>
      <c r="U30" s="76">
        <f t="shared" si="14"/>
        <v>0</v>
      </c>
      <c r="X30" s="1"/>
      <c r="Y30" s="11"/>
      <c r="Z30" s="25"/>
      <c r="AA30" s="10"/>
      <c r="AB30" s="24"/>
      <c r="AC30" s="13"/>
      <c r="AK30" s="15"/>
    </row>
    <row r="31" spans="1:37" ht="15.75" customHeight="1" thickTop="1" thickBot="1" x14ac:dyDescent="0.25">
      <c r="A31" s="1"/>
      <c r="B31" s="316" t="s">
        <v>70</v>
      </c>
      <c r="C31" s="317">
        <f t="shared" ref="C31:J31" si="16">C15+C22+C30</f>
        <v>24444.238002582893</v>
      </c>
      <c r="D31" s="317">
        <f t="shared" si="16"/>
        <v>28950.249273740632</v>
      </c>
      <c r="E31" s="317">
        <f t="shared" ref="E31:I31" si="17">E15+E22+E30</f>
        <v>4251.4000736867365</v>
      </c>
      <c r="F31" s="317">
        <f t="shared" si="17"/>
        <v>3772.2076900660622</v>
      </c>
      <c r="G31" s="317">
        <f t="shared" si="17"/>
        <v>0</v>
      </c>
      <c r="H31" s="317">
        <f t="shared" si="17"/>
        <v>0</v>
      </c>
      <c r="I31" s="317">
        <f t="shared" si="17"/>
        <v>0</v>
      </c>
      <c r="J31" s="317">
        <f t="shared" si="16"/>
        <v>0</v>
      </c>
      <c r="L31" s="1"/>
      <c r="M31" s="316" t="s">
        <v>70</v>
      </c>
      <c r="N31" s="317">
        <f>N15+N22+N30</f>
        <v>24204.395777999998</v>
      </c>
      <c r="O31" s="317">
        <f t="shared" ref="O31:U31" si="18">O15+O22+O30</f>
        <v>28709.119794000002</v>
      </c>
      <c r="P31" s="317">
        <f t="shared" ref="P31:T31" si="19">P15+P22+P30</f>
        <v>4051.859735</v>
      </c>
      <c r="Q31" s="317">
        <f t="shared" si="19"/>
        <v>3582.1593700000003</v>
      </c>
      <c r="R31" s="317">
        <f t="shared" si="19"/>
        <v>0</v>
      </c>
      <c r="S31" s="317">
        <f t="shared" si="19"/>
        <v>0</v>
      </c>
      <c r="T31" s="317">
        <f t="shared" si="19"/>
        <v>0</v>
      </c>
      <c r="U31" s="317">
        <f t="shared" si="18"/>
        <v>0</v>
      </c>
      <c r="X31" s="1"/>
      <c r="Y31" s="11"/>
      <c r="Z31" s="25"/>
      <c r="AA31" s="10"/>
      <c r="AB31" s="24"/>
      <c r="AC31" s="13"/>
      <c r="AK31" s="15"/>
    </row>
    <row r="32" spans="1:37" ht="15.75" customHeight="1" thickTop="1" x14ac:dyDescent="0.2">
      <c r="A32" s="1"/>
      <c r="K32" s="1"/>
      <c r="L32" s="1"/>
      <c r="M32" s="11"/>
      <c r="N32" s="25"/>
      <c r="O32" s="24"/>
      <c r="P32" s="24"/>
      <c r="Q32" s="24"/>
      <c r="R32" s="24"/>
      <c r="S32" s="24"/>
      <c r="T32" s="24"/>
      <c r="U32" s="24"/>
      <c r="V32" s="1"/>
      <c r="W32" s="1"/>
      <c r="X32" s="1"/>
      <c r="Y32" s="11"/>
      <c r="Z32" s="25"/>
      <c r="AA32" s="10"/>
      <c r="AB32" s="24"/>
      <c r="AC32" s="13"/>
    </row>
    <row r="33" spans="1:29" ht="15.75" customHeight="1" thickBot="1" x14ac:dyDescent="0.25">
      <c r="A33" s="1"/>
      <c r="K33" s="1"/>
      <c r="L33" s="1"/>
      <c r="M33" s="17"/>
      <c r="N33" s="1"/>
      <c r="O33" s="18"/>
      <c r="P33" s="18"/>
      <c r="Q33" s="18"/>
      <c r="R33" s="18"/>
      <c r="S33" s="18"/>
      <c r="T33" s="18"/>
      <c r="U33" s="18"/>
      <c r="V33" s="1"/>
      <c r="W33" s="1"/>
      <c r="X33" s="1"/>
      <c r="Y33" s="17"/>
      <c r="Z33" s="1"/>
      <c r="AA33" s="1"/>
      <c r="AB33" s="18"/>
      <c r="AC33" s="19"/>
    </row>
    <row r="34" spans="1:29" ht="21.75" customHeight="1" thickTop="1" thickBot="1" x14ac:dyDescent="0.25">
      <c r="A34" s="1"/>
      <c r="B34" s="349" t="s">
        <v>71</v>
      </c>
      <c r="C34" s="350"/>
      <c r="D34" s="350"/>
      <c r="E34" s="350"/>
      <c r="F34" s="350"/>
      <c r="G34" s="350"/>
      <c r="H34" s="350"/>
      <c r="I34" s="350"/>
      <c r="J34" s="350"/>
      <c r="K34" s="1"/>
      <c r="L34" s="1"/>
      <c r="M34" s="346" t="s">
        <v>72</v>
      </c>
      <c r="N34" s="359"/>
      <c r="O34" s="359"/>
      <c r="P34" s="359"/>
      <c r="Q34" s="359"/>
      <c r="R34" s="359"/>
      <c r="S34" s="359"/>
      <c r="T34" s="359"/>
      <c r="U34" s="359"/>
      <c r="V34" s="1"/>
      <c r="W34" s="1"/>
      <c r="X34" s="1"/>
      <c r="Y34" s="26"/>
      <c r="Z34" s="18"/>
      <c r="AA34" s="18"/>
      <c r="AB34" s="18"/>
      <c r="AC34" s="27"/>
    </row>
    <row r="35" spans="1:29" ht="15.95" customHeight="1" thickTop="1" thickBot="1" x14ac:dyDescent="0.25">
      <c r="A35" s="1"/>
      <c r="B35" s="88"/>
      <c r="C35" s="80">
        <f>'Input keuzevariabelen'!$D$11</f>
        <v>2019</v>
      </c>
      <c r="D35" s="89">
        <f>+C35+1</f>
        <v>2020</v>
      </c>
      <c r="E35" s="89">
        <f t="shared" ref="E35:H35" si="20">+D35+1</f>
        <v>2021</v>
      </c>
      <c r="F35" s="89">
        <f t="shared" si="20"/>
        <v>2022</v>
      </c>
      <c r="G35" s="89">
        <f t="shared" si="20"/>
        <v>2023</v>
      </c>
      <c r="H35" s="89">
        <f t="shared" si="20"/>
        <v>2024</v>
      </c>
      <c r="I35" s="89">
        <f t="shared" ref="I35" si="21">+H35+1</f>
        <v>2025</v>
      </c>
      <c r="J35" s="89">
        <f t="shared" ref="J35" si="22">+I35+1</f>
        <v>2026</v>
      </c>
      <c r="K35" s="1"/>
      <c r="L35" s="1"/>
      <c r="M35" s="88"/>
      <c r="N35" s="80">
        <f>'Input keuzevariabelen'!$D$11</f>
        <v>2019</v>
      </c>
      <c r="O35" s="89">
        <f>+N35+1</f>
        <v>2020</v>
      </c>
      <c r="P35" s="89">
        <f t="shared" ref="P35:S35" si="23">+O35+1</f>
        <v>2021</v>
      </c>
      <c r="Q35" s="89">
        <f t="shared" si="23"/>
        <v>2022</v>
      </c>
      <c r="R35" s="89">
        <f t="shared" si="23"/>
        <v>2023</v>
      </c>
      <c r="S35" s="89">
        <f t="shared" si="23"/>
        <v>2024</v>
      </c>
      <c r="T35" s="89">
        <f t="shared" ref="T35" si="24">+S35+1</f>
        <v>2025</v>
      </c>
      <c r="U35" s="89">
        <f t="shared" ref="U35" si="25">+T35+1</f>
        <v>2026</v>
      </c>
      <c r="V35" s="1"/>
      <c r="W35" s="1"/>
      <c r="X35" s="1"/>
      <c r="Y35" s="26"/>
      <c r="Z35" s="18"/>
      <c r="AA35" s="18"/>
      <c r="AB35" s="18"/>
      <c r="AC35" s="27"/>
    </row>
    <row r="36" spans="1:29" ht="23.1" customHeight="1" thickTop="1" thickBot="1" x14ac:dyDescent="0.25">
      <c r="A36" s="1"/>
      <c r="B36" s="318"/>
      <c r="C36" s="314" t="s">
        <v>13</v>
      </c>
      <c r="D36" s="314" t="s">
        <v>13</v>
      </c>
      <c r="E36" s="314" t="s">
        <v>13</v>
      </c>
      <c r="F36" s="314" t="s">
        <v>13</v>
      </c>
      <c r="G36" s="314" t="s">
        <v>13</v>
      </c>
      <c r="H36" s="314" t="s">
        <v>13</v>
      </c>
      <c r="I36" s="314" t="s">
        <v>13</v>
      </c>
      <c r="J36" s="314" t="s">
        <v>13</v>
      </c>
      <c r="K36" s="1"/>
      <c r="L36" s="1"/>
      <c r="M36" s="318"/>
      <c r="N36" s="314" t="s">
        <v>13</v>
      </c>
      <c r="O36" s="314" t="s">
        <v>13</v>
      </c>
      <c r="P36" s="314" t="s">
        <v>13</v>
      </c>
      <c r="Q36" s="314" t="s">
        <v>13</v>
      </c>
      <c r="R36" s="314" t="s">
        <v>13</v>
      </c>
      <c r="S36" s="314" t="s">
        <v>13</v>
      </c>
      <c r="T36" s="314" t="s">
        <v>13</v>
      </c>
      <c r="U36" s="314" t="s">
        <v>13</v>
      </c>
      <c r="V36" s="1"/>
      <c r="W36" s="1"/>
      <c r="X36" s="1"/>
      <c r="Y36" s="26"/>
      <c r="Z36" s="18"/>
      <c r="AA36" s="18"/>
      <c r="AB36" s="18"/>
      <c r="AC36" s="27"/>
    </row>
    <row r="37" spans="1:29" ht="15.75" customHeight="1" thickBot="1" x14ac:dyDescent="0.25">
      <c r="A37" s="1"/>
      <c r="B37" s="98" t="s">
        <v>73</v>
      </c>
      <c r="C37" s="94">
        <f>C31/$C$31</f>
        <v>1</v>
      </c>
      <c r="D37" s="94">
        <f t="shared" ref="D37:F37" si="26">D31/$C$31</f>
        <v>1.1843383815311246</v>
      </c>
      <c r="E37" s="94">
        <f t="shared" si="26"/>
        <v>0.17392238094055187</v>
      </c>
      <c r="F37" s="94">
        <f t="shared" si="26"/>
        <v>0.1543188905977545</v>
      </c>
      <c r="G37" s="94"/>
      <c r="H37" s="94"/>
      <c r="I37" s="94"/>
      <c r="J37" s="94"/>
      <c r="K37" s="1"/>
      <c r="L37" s="1"/>
      <c r="M37" s="98" t="s">
        <v>73</v>
      </c>
      <c r="N37" s="329">
        <f>N31/$N$31</f>
        <v>1</v>
      </c>
      <c r="O37" s="329">
        <f t="shared" ref="O37" si="27">O31/$N$31</f>
        <v>1.1861118144537393</v>
      </c>
      <c r="P37" s="329">
        <f t="shared" ref="P37:Q37" si="28">P31/$N$31</f>
        <v>0.16740181296666948</v>
      </c>
      <c r="Q37" s="329">
        <f t="shared" si="28"/>
        <v>0.14799623187685262</v>
      </c>
      <c r="R37" s="329"/>
      <c r="S37" s="329"/>
      <c r="T37" s="329"/>
      <c r="U37" s="329"/>
      <c r="V37" s="1"/>
      <c r="W37" s="1"/>
      <c r="X37" s="1"/>
      <c r="Y37" s="26"/>
      <c r="Z37" s="18"/>
      <c r="AA37" s="18"/>
      <c r="AB37" s="18"/>
      <c r="AC37" s="27"/>
    </row>
    <row r="38" spans="1:29" ht="15.75" customHeight="1" x14ac:dyDescent="0.2">
      <c r="A38" s="1"/>
      <c r="B38" s="146" t="s">
        <v>74</v>
      </c>
      <c r="C38" s="327">
        <v>1</v>
      </c>
      <c r="D38" s="327">
        <v>1</v>
      </c>
      <c r="E38" s="328">
        <v>0.17</v>
      </c>
      <c r="F38" s="328">
        <f>E38-(7%/5)</f>
        <v>0.156</v>
      </c>
      <c r="G38" s="328">
        <f t="shared" ref="G38:J38" si="29">F38-(7%/5)</f>
        <v>0.14199999999999999</v>
      </c>
      <c r="H38" s="328">
        <f t="shared" si="29"/>
        <v>0.12799999999999997</v>
      </c>
      <c r="I38" s="328">
        <f t="shared" si="29"/>
        <v>0.11399999999999998</v>
      </c>
      <c r="J38" s="328">
        <f t="shared" si="29"/>
        <v>9.9999999999999978E-2</v>
      </c>
      <c r="K38" s="1"/>
      <c r="L38" s="1"/>
      <c r="M38" s="152" t="s">
        <v>74</v>
      </c>
      <c r="N38" s="327">
        <v>1</v>
      </c>
      <c r="O38" s="327">
        <v>1</v>
      </c>
      <c r="P38" s="328">
        <v>0.17</v>
      </c>
      <c r="Q38" s="328">
        <f>P38-(7%/5)</f>
        <v>0.156</v>
      </c>
      <c r="R38" s="328">
        <f t="shared" ref="R38:U38" si="30">Q38-(7%/5)</f>
        <v>0.14199999999999999</v>
      </c>
      <c r="S38" s="328">
        <f t="shared" si="30"/>
        <v>0.12799999999999997</v>
      </c>
      <c r="T38" s="328">
        <f t="shared" si="30"/>
        <v>0.11399999999999998</v>
      </c>
      <c r="U38" s="328">
        <f t="shared" si="30"/>
        <v>9.9999999999999978E-2</v>
      </c>
      <c r="V38" s="1"/>
      <c r="W38" s="1"/>
      <c r="X38" s="1"/>
      <c r="Y38" s="26"/>
      <c r="Z38" s="18"/>
      <c r="AA38" s="18"/>
      <c r="AB38" s="18"/>
      <c r="AC38" s="27"/>
    </row>
    <row r="39" spans="1:29" ht="15.75" customHeight="1" thickBot="1" x14ac:dyDescent="0.25">
      <c r="A39" s="292" t="s">
        <v>75</v>
      </c>
      <c r="B39" s="147" t="str">
        <f>'Input keuzevariabelen'!$F$11</f>
        <v>Hoeveelheid verpompt afvalwater</v>
      </c>
      <c r="C39" s="148">
        <f>SUMIFS(Data!$I:$I,Data!$H:$H,$B39,Data!$E:$E,C$35,Data!$F:$F,C$36)</f>
        <v>146610.367</v>
      </c>
      <c r="D39" s="148">
        <f>SUMIFS(Data!$I:$I,Data!$H:$H,$B39,Data!$E:$E,D$35,Data!$F:$F,D$36)</f>
        <v>153871.84</v>
      </c>
      <c r="E39" s="148">
        <f>SUMIFS(Data!$I:$I,Data!$H:$H,$B39,Data!$E:$E,E$35,Data!$F:$F,E$36)</f>
        <v>150456.43</v>
      </c>
      <c r="F39" s="148">
        <f>SUMIFS(Data!$I:$I,Data!$H:$H,$B39,Data!$E:$E,F$35,Data!$F:$F,F$36)</f>
        <v>130853.378</v>
      </c>
      <c r="G39" s="148">
        <f>SUMIFS(Data!$I:$I,Data!$H:$H,$B39,Data!$E:$E,G$35,Data!$F:$F,G$36)</f>
        <v>0</v>
      </c>
      <c r="H39" s="148">
        <f>SUMIFS(Data!$I:$I,Data!$H:$H,$B39,Data!$E:$E,H$35,Data!$F:$F,H$36)</f>
        <v>0</v>
      </c>
      <c r="I39" s="148">
        <f>SUMIFS(Data!$I:$I,Data!$H:$H,$B39,Data!$E:$E,I$35,Data!$F:$F,I$36)</f>
        <v>0</v>
      </c>
      <c r="J39" s="148">
        <f>SUMIFS(Data!$I:$I,Data!$H:$H,$B39,Data!$E:$E,J$35,Data!$F:$F,J$36)</f>
        <v>0</v>
      </c>
      <c r="K39" s="1"/>
      <c r="L39" s="1"/>
      <c r="M39" s="131" t="str">
        <f>'Input keuzevariabelen'!$F$11</f>
        <v>Hoeveelheid verpompt afvalwater</v>
      </c>
      <c r="N39" s="145">
        <f>SUMIFS(Data!$J:$J,Data!$H:$H,$M39,Data!$E:$E,N$35,Data!$C:$C,$N$6,Data!$F:$F,N$36)</f>
        <v>146610.367</v>
      </c>
      <c r="O39" s="145">
        <f>SUMIFS(Data!$J:$J,Data!$H:$H,$M39,Data!$E:$E,O$35,Data!$C:$C,$N$6,Data!$F:$F,O$36)</f>
        <v>153871.84</v>
      </c>
      <c r="P39" s="145">
        <f>SUMIFS(Data!$J:$J,Data!$H:$H,$M39,Data!$E:$E,P$35,Data!$C:$C,$N$6,Data!$F:$F,P$36)</f>
        <v>150456.43</v>
      </c>
      <c r="Q39" s="145">
        <f>SUMIFS(Data!$J:$J,Data!$H:$H,$M39,Data!$E:$E,Q$35,Data!$C:$C,$N$6,Data!$F:$F,Q$36)</f>
        <v>130853.378</v>
      </c>
      <c r="R39" s="145">
        <f>SUMIFS(Data!$J:$J,Data!$H:$H,$M39,Data!$E:$E,R$35,Data!$C:$C,$N$6,Data!$F:$F,R$36)</f>
        <v>0</v>
      </c>
      <c r="S39" s="145">
        <f>SUMIFS(Data!$J:$J,Data!$H:$H,$M39,Data!$E:$E,S$35,Data!$C:$C,$N$6,Data!$F:$F,S$36)</f>
        <v>0</v>
      </c>
      <c r="T39" s="145">
        <f>SUMIFS(Data!$J:$J,Data!$H:$H,$M39,Data!$E:$E,T$35,Data!$C:$C,$N$6,Data!$F:$F,T$36)</f>
        <v>0</v>
      </c>
      <c r="U39" s="145">
        <f>SUMIFS(Data!$J:$J,Data!$H:$H,$M39,Data!$E:$E,U$35,Data!$C:$C,$N$6,Data!$F:$F,U$36)</f>
        <v>0</v>
      </c>
      <c r="V39" s="1"/>
      <c r="W39" s="1"/>
      <c r="X39" s="1"/>
      <c r="Y39" s="26"/>
      <c r="Z39" s="18"/>
      <c r="AA39" s="18"/>
      <c r="AB39" s="18"/>
      <c r="AC39" s="27"/>
    </row>
    <row r="40" spans="1:29" ht="15.75" customHeight="1" thickBot="1" x14ac:dyDescent="0.25">
      <c r="A40" s="1"/>
      <c r="B40" s="98" t="s">
        <v>76</v>
      </c>
      <c r="C40" s="293">
        <f>C31/C39</f>
        <v>0.16672926002963279</v>
      </c>
      <c r="D40" s="293">
        <f t="shared" ref="D40:J40" si="31">D31/D39</f>
        <v>0.18814520755546066</v>
      </c>
      <c r="E40" s="293">
        <f t="shared" si="31"/>
        <v>2.8256685830487516E-2</v>
      </c>
      <c r="F40" s="330">
        <f t="shared" si="31"/>
        <v>2.8827744057673944E-2</v>
      </c>
      <c r="G40" s="92" t="e">
        <f t="shared" si="31"/>
        <v>#DIV/0!</v>
      </c>
      <c r="H40" s="92" t="e">
        <f t="shared" si="31"/>
        <v>#DIV/0!</v>
      </c>
      <c r="I40" s="92" t="e">
        <f t="shared" ref="I40" si="32">I31/I39</f>
        <v>#DIV/0!</v>
      </c>
      <c r="J40" s="92" t="e">
        <f t="shared" si="31"/>
        <v>#DIV/0!</v>
      </c>
      <c r="K40" s="1"/>
      <c r="L40" s="1"/>
      <c r="M40" s="98" t="s">
        <v>76</v>
      </c>
      <c r="N40" s="330">
        <f>N31/N39</f>
        <v>0.16509334416985669</v>
      </c>
      <c r="O40" s="330">
        <f t="shared" ref="O40:U40" si="33">O31/O39</f>
        <v>0.1865781275768198</v>
      </c>
      <c r="P40" s="330">
        <f t="shared" si="33"/>
        <v>2.6930452457232967E-2</v>
      </c>
      <c r="Q40" s="92">
        <f t="shared" si="33"/>
        <v>2.7375367948086142E-2</v>
      </c>
      <c r="R40" s="92" t="e">
        <f t="shared" si="33"/>
        <v>#DIV/0!</v>
      </c>
      <c r="S40" s="92" t="e">
        <f t="shared" si="33"/>
        <v>#DIV/0!</v>
      </c>
      <c r="T40" s="92" t="e">
        <f t="shared" ref="T40" si="34">T31/T39</f>
        <v>#DIV/0!</v>
      </c>
      <c r="U40" s="92" t="e">
        <f t="shared" si="33"/>
        <v>#DIV/0!</v>
      </c>
      <c r="V40" s="1"/>
      <c r="W40" s="1"/>
      <c r="X40" s="1"/>
      <c r="Y40" s="26"/>
      <c r="Z40" s="18"/>
      <c r="AA40" s="18"/>
      <c r="AB40" s="18"/>
      <c r="AC40" s="27"/>
    </row>
    <row r="41" spans="1:29" ht="15.75" customHeight="1" x14ac:dyDescent="0.2">
      <c r="A41" s="1"/>
      <c r="B41" s="152" t="s">
        <v>77</v>
      </c>
      <c r="C41" s="153">
        <f>C40/$C$40</f>
        <v>1</v>
      </c>
      <c r="D41" s="153">
        <f t="shared" ref="D41:F41" si="35">D40/$C$40</f>
        <v>1.1284474454095317</v>
      </c>
      <c r="E41" s="153">
        <f t="shared" si="35"/>
        <v>0.16947646637108241</v>
      </c>
      <c r="F41" s="153">
        <f t="shared" si="35"/>
        <v>0.17290152941691453</v>
      </c>
      <c r="G41" s="153"/>
      <c r="H41" s="153"/>
      <c r="I41" s="153"/>
      <c r="J41" s="153"/>
      <c r="K41" s="1"/>
      <c r="L41" s="1"/>
      <c r="M41" s="152" t="s">
        <v>77</v>
      </c>
      <c r="N41" s="153">
        <f>N40/$N$40</f>
        <v>1</v>
      </c>
      <c r="O41" s="153">
        <f t="shared" ref="O41:Q41" si="36">O40/$N$40</f>
        <v>1.1301371870258952</v>
      </c>
      <c r="P41" s="153">
        <f t="shared" si="36"/>
        <v>0.16312258130482538</v>
      </c>
      <c r="Q41" s="153">
        <f t="shared" si="36"/>
        <v>0.16581751424164579</v>
      </c>
      <c r="R41" s="153"/>
      <c r="S41" s="153"/>
      <c r="T41" s="153"/>
      <c r="U41" s="153"/>
      <c r="V41" s="1"/>
      <c r="W41" s="1"/>
      <c r="X41" s="1"/>
    </row>
    <row r="42" spans="1:29" ht="15.75" hidden="1" customHeight="1" thickBot="1" x14ac:dyDescent="0.25">
      <c r="A42" s="1"/>
      <c r="B42" s="131" t="e">
        <f>'Input keuzevariabelen'!#REF!</f>
        <v>#REF!</v>
      </c>
      <c r="C42" s="145">
        <f>SUMIFS(Data!$I:$I,Data!$H:$H,$B42,Data!$E:$E,C$35,Data!$F:$F,C$36)</f>
        <v>0</v>
      </c>
      <c r="D42" s="145">
        <f>SUMIFS(Data!$I:$I,Data!$H:$H,$B42,Data!$E:$E,D$35,Data!$F:$F,D$36)</f>
        <v>0</v>
      </c>
      <c r="E42" s="145">
        <f>SUMIFS(Data!$I:$I,Data!$H:$H,$B42,Data!$E:$E,E$35,Data!$F:$F,E$36)</f>
        <v>0</v>
      </c>
      <c r="F42" s="145">
        <f>SUMIFS(Data!$I:$I,Data!$H:$H,$B42,Data!$E:$E,F$35,Data!$F:$F,F$36)</f>
        <v>0</v>
      </c>
      <c r="G42" s="145">
        <f>SUMIFS(Data!$I:$I,Data!$H:$H,$B42,Data!$E:$E,G$35,Data!$F:$F,G$36)</f>
        <v>0</v>
      </c>
      <c r="H42" s="145">
        <f>SUMIFS(Data!$I:$I,Data!$H:$H,$B42,Data!$E:$E,H$35,Data!$F:$F,H$36)</f>
        <v>0</v>
      </c>
      <c r="I42" s="145">
        <f>SUMIFS(Data!$I:$I,Data!$H:$H,$B42,Data!$E:$E,I$35,Data!$F:$F,I$36)</f>
        <v>0</v>
      </c>
      <c r="J42" s="145">
        <f>SUMIFS(Data!$I:$I,Data!$H:$H,$B42,Data!$E:$E,J$35,Data!$F:$F,J$36)</f>
        <v>0</v>
      </c>
      <c r="K42" s="1"/>
      <c r="L42" s="1"/>
      <c r="M42" s="131" t="e">
        <f>'Input keuzevariabelen'!#REF!</f>
        <v>#REF!</v>
      </c>
      <c r="N42" s="145">
        <f>SUMIFS(Data!$J:$J,Data!$H:$H,$M42,Data!$E:$E,N$35,Data!$C:$C,$N$6,Data!$F:$F,N$36)</f>
        <v>0</v>
      </c>
      <c r="O42" s="145">
        <f>SUMIFS(Data!$J:$J,Data!$H:$H,$M42,Data!$E:$E,O$35,Data!$C:$C,$N$6,Data!$F:$F,O$36)</f>
        <v>0</v>
      </c>
      <c r="P42" s="145">
        <f>SUMIFS(Data!$J:$J,Data!$H:$H,$M42,Data!$E:$E,P$35,Data!$C:$C,$N$6,Data!$F:$F,P$36)</f>
        <v>0</v>
      </c>
      <c r="Q42" s="145">
        <f>SUMIFS(Data!$J:$J,Data!$H:$H,$M42,Data!$E:$E,Q$35,Data!$C:$C,$N$6,Data!$F:$F,Q$36)</f>
        <v>0</v>
      </c>
      <c r="R42" s="145">
        <f>SUMIFS(Data!$J:$J,Data!$H:$H,$M42,Data!$E:$E,R$35,Data!$C:$C,$N$6,Data!$F:$F,R$36)</f>
        <v>0</v>
      </c>
      <c r="S42" s="145">
        <f>SUMIFS(Data!$J:$J,Data!$H:$H,$M42,Data!$E:$E,S$35,Data!$C:$C,$N$6,Data!$F:$F,S$36)</f>
        <v>0</v>
      </c>
      <c r="T42" s="145">
        <f>SUMIFS(Data!$J:$J,Data!$H:$H,$M42,Data!$E:$E,T$35,Data!$C:$C,$N$6,Data!$F:$F,T$36)</f>
        <v>0</v>
      </c>
      <c r="U42" s="145">
        <f>SUMIFS(Data!$J:$J,Data!$H:$H,$M42,Data!$E:$E,U$35,Data!$C:$C,$N$6,Data!$F:$F,U$36)</f>
        <v>0</v>
      </c>
      <c r="V42" s="1"/>
      <c r="W42" s="1"/>
      <c r="X42" s="1"/>
    </row>
    <row r="43" spans="1:29" ht="15.75" hidden="1" customHeight="1" thickBot="1" x14ac:dyDescent="0.25">
      <c r="A43" s="1"/>
      <c r="B43" s="98" t="s">
        <v>76</v>
      </c>
      <c r="C43" s="92" t="e">
        <f>C31/C42</f>
        <v>#DIV/0!</v>
      </c>
      <c r="D43" s="92" t="e">
        <f t="shared" ref="D43:J43" si="37">D31/D42</f>
        <v>#DIV/0!</v>
      </c>
      <c r="E43" s="92" t="e">
        <f t="shared" si="37"/>
        <v>#DIV/0!</v>
      </c>
      <c r="F43" s="92" t="e">
        <f t="shared" si="37"/>
        <v>#DIV/0!</v>
      </c>
      <c r="G43" s="92" t="e">
        <f t="shared" si="37"/>
        <v>#DIV/0!</v>
      </c>
      <c r="H43" s="92" t="e">
        <f t="shared" si="37"/>
        <v>#DIV/0!</v>
      </c>
      <c r="I43" s="92" t="e">
        <f t="shared" ref="I43" si="38">I31/I42</f>
        <v>#DIV/0!</v>
      </c>
      <c r="J43" s="92" t="e">
        <f t="shared" si="37"/>
        <v>#DIV/0!</v>
      </c>
      <c r="K43" s="1"/>
      <c r="L43" s="1"/>
      <c r="M43" s="98" t="s">
        <v>76</v>
      </c>
      <c r="N43" s="92" t="e">
        <f>N31/N42</f>
        <v>#DIV/0!</v>
      </c>
      <c r="O43" s="92" t="e">
        <f t="shared" ref="O43:U43" si="39">O31/O42</f>
        <v>#DIV/0!</v>
      </c>
      <c r="P43" s="92" t="e">
        <f t="shared" si="39"/>
        <v>#DIV/0!</v>
      </c>
      <c r="Q43" s="92" t="e">
        <f t="shared" si="39"/>
        <v>#DIV/0!</v>
      </c>
      <c r="R43" s="92" t="e">
        <f t="shared" si="39"/>
        <v>#DIV/0!</v>
      </c>
      <c r="S43" s="92" t="e">
        <f t="shared" si="39"/>
        <v>#DIV/0!</v>
      </c>
      <c r="T43" s="92" t="e">
        <f t="shared" ref="T43" si="40">T31/T42</f>
        <v>#DIV/0!</v>
      </c>
      <c r="U43" s="92" t="e">
        <f t="shared" si="39"/>
        <v>#DIV/0!</v>
      </c>
      <c r="V43" s="1"/>
      <c r="W43" s="1"/>
      <c r="X43" s="1"/>
    </row>
    <row r="44" spans="1:29" ht="15.75" hidden="1" customHeight="1" x14ac:dyDescent="0.2">
      <c r="A44" s="1"/>
      <c r="B44" s="152" t="s">
        <v>78</v>
      </c>
      <c r="C44" s="153" t="e">
        <f>C43/$C$43</f>
        <v>#DIV/0!</v>
      </c>
      <c r="D44" s="153" t="e">
        <f t="shared" ref="D44:J44" si="41">D43/$C$43</f>
        <v>#DIV/0!</v>
      </c>
      <c r="E44" s="153" t="e">
        <f t="shared" si="41"/>
        <v>#DIV/0!</v>
      </c>
      <c r="F44" s="153" t="e">
        <f t="shared" si="41"/>
        <v>#DIV/0!</v>
      </c>
      <c r="G44" s="153" t="e">
        <f t="shared" si="41"/>
        <v>#DIV/0!</v>
      </c>
      <c r="H44" s="153" t="e">
        <f t="shared" si="41"/>
        <v>#DIV/0!</v>
      </c>
      <c r="I44" s="153" t="e">
        <f t="shared" ref="I44" si="42">I43/$C$43</f>
        <v>#DIV/0!</v>
      </c>
      <c r="J44" s="153" t="e">
        <f t="shared" si="41"/>
        <v>#DIV/0!</v>
      </c>
      <c r="K44" s="1"/>
      <c r="L44" s="1"/>
      <c r="M44" s="152" t="s">
        <v>78</v>
      </c>
      <c r="N44" s="153" t="e">
        <f>N43/$N$43</f>
        <v>#DIV/0!</v>
      </c>
      <c r="O44" s="153" t="e">
        <f t="shared" ref="O44:U44" si="43">O43/$N$43</f>
        <v>#DIV/0!</v>
      </c>
      <c r="P44" s="153" t="e">
        <f t="shared" si="43"/>
        <v>#DIV/0!</v>
      </c>
      <c r="Q44" s="153" t="e">
        <f t="shared" si="43"/>
        <v>#DIV/0!</v>
      </c>
      <c r="R44" s="153" t="e">
        <f t="shared" si="43"/>
        <v>#DIV/0!</v>
      </c>
      <c r="S44" s="153" t="e">
        <f t="shared" si="43"/>
        <v>#DIV/0!</v>
      </c>
      <c r="T44" s="153" t="e">
        <f t="shared" ref="T44" si="44">T43/$N$43</f>
        <v>#DIV/0!</v>
      </c>
      <c r="U44" s="153" t="e">
        <f t="shared" si="43"/>
        <v>#DIV/0!</v>
      </c>
      <c r="V44" s="1"/>
      <c r="W44" s="1"/>
      <c r="X44" s="1"/>
    </row>
    <row r="45" spans="1:29" ht="15.75" hidden="1" customHeight="1" thickBot="1" x14ac:dyDescent="0.25">
      <c r="A45" s="1"/>
      <c r="B45" s="131" t="e">
        <f>'Input keuzevariabelen'!#REF!</f>
        <v>#REF!</v>
      </c>
      <c r="C45" s="145">
        <f>SUMIFS(Data!$I:$I,Data!$H:$H,$B45,Data!$E:$E,C$35,Data!$F:$F,C$36)</f>
        <v>0</v>
      </c>
      <c r="D45" s="145">
        <f>SUMIFS(Data!$I:$I,Data!$H:$H,$B45,Data!$E:$E,D$35,Data!$F:$F,D$36)</f>
        <v>0</v>
      </c>
      <c r="E45" s="145">
        <f>SUMIFS(Data!$I:$I,Data!$H:$H,$B45,Data!$E:$E,E$35,Data!$F:$F,E$36)</f>
        <v>0</v>
      </c>
      <c r="F45" s="145">
        <f>SUMIFS(Data!$I:$I,Data!$H:$H,$B45,Data!$E:$E,F$35,Data!$F:$F,F$36)</f>
        <v>0</v>
      </c>
      <c r="G45" s="145">
        <f>SUMIFS(Data!$I:$I,Data!$H:$H,$B45,Data!$E:$E,G$35,Data!$F:$F,G$36)</f>
        <v>0</v>
      </c>
      <c r="H45" s="145">
        <f>SUMIFS(Data!$I:$I,Data!$H:$H,$B45,Data!$E:$E,H$35,Data!$F:$F,H$36)</f>
        <v>0</v>
      </c>
      <c r="I45" s="145">
        <f>SUMIFS(Data!$I:$I,Data!$H:$H,$B45,Data!$E:$E,I$35,Data!$F:$F,I$36)</f>
        <v>0</v>
      </c>
      <c r="J45" s="145">
        <f>SUMIFS(Data!$I:$I,Data!$H:$H,$B45,Data!$E:$E,J$35,Data!$F:$F,J$36)</f>
        <v>0</v>
      </c>
      <c r="K45" s="1"/>
      <c r="L45" s="1"/>
      <c r="M45" s="131" t="e">
        <f>'Input keuzevariabelen'!#REF!</f>
        <v>#REF!</v>
      </c>
      <c r="N45" s="145">
        <f>SUMIFS(Data!$J:$J,Data!$H:$H,$M45,Data!$E:$E,N$35,Data!$C:$C,$N$6,Data!$F:$F,N$36)</f>
        <v>0</v>
      </c>
      <c r="O45" s="145">
        <f>SUMIFS(Data!$J:$J,Data!$H:$H,$M45,Data!$E:$E,O$35,Data!$C:$C,$N$6,Data!$F:$F,O$36)</f>
        <v>0</v>
      </c>
      <c r="P45" s="145">
        <f>SUMIFS(Data!$J:$J,Data!$H:$H,$M45,Data!$E:$E,P$35,Data!$C:$C,$N$6,Data!$F:$F,P$36)</f>
        <v>0</v>
      </c>
      <c r="Q45" s="145">
        <f>SUMIFS(Data!$J:$J,Data!$H:$H,$M45,Data!$E:$E,Q$35,Data!$C:$C,$N$6,Data!$F:$F,Q$36)</f>
        <v>0</v>
      </c>
      <c r="R45" s="145">
        <f>SUMIFS(Data!$J:$J,Data!$H:$H,$M45,Data!$E:$E,R$35,Data!$C:$C,$N$6,Data!$F:$F,R$36)</f>
        <v>0</v>
      </c>
      <c r="S45" s="145">
        <f>SUMIFS(Data!$J:$J,Data!$H:$H,$M45,Data!$E:$E,S$35,Data!$C:$C,$N$6,Data!$F:$F,S$36)</f>
        <v>0</v>
      </c>
      <c r="T45" s="145">
        <f>SUMIFS(Data!$J:$J,Data!$H:$H,$M45,Data!$E:$E,T$35,Data!$C:$C,$N$6,Data!$F:$F,T$36)</f>
        <v>0</v>
      </c>
      <c r="U45" s="145">
        <f>SUMIFS(Data!$J:$J,Data!$H:$H,$M45,Data!$E:$E,U$35,Data!$C:$C,$N$6,Data!$F:$F,U$36)</f>
        <v>0</v>
      </c>
      <c r="V45" s="1"/>
      <c r="W45" s="1"/>
      <c r="X45" s="1"/>
    </row>
    <row r="46" spans="1:29" ht="15.75" hidden="1" customHeight="1" thickBot="1" x14ac:dyDescent="0.25">
      <c r="A46" s="1"/>
      <c r="B46" s="98" t="s">
        <v>76</v>
      </c>
      <c r="C46" s="92" t="e">
        <f>C31/C45</f>
        <v>#DIV/0!</v>
      </c>
      <c r="D46" s="92" t="e">
        <f t="shared" ref="D46:J46" si="45">D31/D45</f>
        <v>#DIV/0!</v>
      </c>
      <c r="E46" s="92" t="e">
        <f t="shared" si="45"/>
        <v>#DIV/0!</v>
      </c>
      <c r="F46" s="92" t="e">
        <f t="shared" si="45"/>
        <v>#DIV/0!</v>
      </c>
      <c r="G46" s="92" t="e">
        <f t="shared" si="45"/>
        <v>#DIV/0!</v>
      </c>
      <c r="H46" s="92" t="e">
        <f t="shared" si="45"/>
        <v>#DIV/0!</v>
      </c>
      <c r="I46" s="92" t="e">
        <f t="shared" ref="I46" si="46">I31/I45</f>
        <v>#DIV/0!</v>
      </c>
      <c r="J46" s="92" t="e">
        <f t="shared" si="45"/>
        <v>#DIV/0!</v>
      </c>
      <c r="K46" s="1"/>
      <c r="L46" s="1"/>
      <c r="M46" s="98" t="s">
        <v>76</v>
      </c>
      <c r="N46" s="92" t="e">
        <f>N31/N45</f>
        <v>#DIV/0!</v>
      </c>
      <c r="O46" s="92" t="e">
        <f t="shared" ref="O46:U46" si="47">O31/O45</f>
        <v>#DIV/0!</v>
      </c>
      <c r="P46" s="92" t="e">
        <f t="shared" si="47"/>
        <v>#DIV/0!</v>
      </c>
      <c r="Q46" s="92" t="e">
        <f t="shared" si="47"/>
        <v>#DIV/0!</v>
      </c>
      <c r="R46" s="92" t="e">
        <f t="shared" si="47"/>
        <v>#DIV/0!</v>
      </c>
      <c r="S46" s="92" t="e">
        <f t="shared" si="47"/>
        <v>#DIV/0!</v>
      </c>
      <c r="T46" s="92" t="e">
        <f t="shared" ref="T46" si="48">T31/T45</f>
        <v>#DIV/0!</v>
      </c>
      <c r="U46" s="92" t="e">
        <f t="shared" si="47"/>
        <v>#DIV/0!</v>
      </c>
      <c r="V46" s="1"/>
      <c r="W46" s="1"/>
      <c r="X46" s="1"/>
    </row>
    <row r="47" spans="1:29" ht="15.75" hidden="1" customHeight="1" x14ac:dyDescent="0.2">
      <c r="A47" s="1"/>
      <c r="B47" s="152" t="s">
        <v>79</v>
      </c>
      <c r="C47" s="153" t="e">
        <f>C46/$C$46</f>
        <v>#DIV/0!</v>
      </c>
      <c r="D47" s="153" t="e">
        <f t="shared" ref="D47:J47" si="49">D46/$C$46</f>
        <v>#DIV/0!</v>
      </c>
      <c r="E47" s="153" t="e">
        <f t="shared" si="49"/>
        <v>#DIV/0!</v>
      </c>
      <c r="F47" s="153" t="e">
        <f t="shared" si="49"/>
        <v>#DIV/0!</v>
      </c>
      <c r="G47" s="153" t="e">
        <f t="shared" si="49"/>
        <v>#DIV/0!</v>
      </c>
      <c r="H47" s="153" t="e">
        <f t="shared" si="49"/>
        <v>#DIV/0!</v>
      </c>
      <c r="I47" s="153" t="e">
        <f t="shared" ref="I47" si="50">I46/$C$46</f>
        <v>#DIV/0!</v>
      </c>
      <c r="J47" s="153" t="e">
        <f t="shared" si="49"/>
        <v>#DIV/0!</v>
      </c>
      <c r="K47" s="1"/>
      <c r="L47" s="1"/>
      <c r="M47" s="152" t="s">
        <v>79</v>
      </c>
      <c r="N47" s="153" t="e">
        <f>N46/$N$46</f>
        <v>#DIV/0!</v>
      </c>
      <c r="O47" s="153" t="e">
        <f t="shared" ref="O47:S47" si="51">O46/$N$46</f>
        <v>#DIV/0!</v>
      </c>
      <c r="P47" s="153" t="e">
        <f t="shared" si="51"/>
        <v>#DIV/0!</v>
      </c>
      <c r="Q47" s="153" t="e">
        <f t="shared" si="51"/>
        <v>#DIV/0!</v>
      </c>
      <c r="R47" s="153" t="e">
        <f t="shared" si="51"/>
        <v>#DIV/0!</v>
      </c>
      <c r="S47" s="153" t="e">
        <f t="shared" si="51"/>
        <v>#DIV/0!</v>
      </c>
      <c r="T47" s="153" t="e">
        <f>T46/$N$46</f>
        <v>#DIV/0!</v>
      </c>
      <c r="U47" s="153" t="e">
        <f>U46/$N$46</f>
        <v>#DIV/0!</v>
      </c>
      <c r="V47" s="1"/>
      <c r="W47" s="1"/>
      <c r="X47" s="1"/>
    </row>
    <row r="48" spans="1:29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37" ht="36" customHeight="1" x14ac:dyDescent="0.2">
      <c r="A49" s="1"/>
      <c r="B49" s="20"/>
      <c r="C49" s="23"/>
      <c r="D49" s="23"/>
      <c r="E49" s="23"/>
      <c r="F49" s="23"/>
      <c r="G49" s="23"/>
      <c r="H49" s="23"/>
      <c r="I49" s="23"/>
      <c r="J49" s="2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AK49" s="15"/>
    </row>
    <row r="50" spans="1:37" ht="15.75" customHeight="1" x14ac:dyDescent="0.2">
      <c r="A50" s="1"/>
      <c r="B50" s="10"/>
      <c r="C50" s="16"/>
      <c r="D50" s="16"/>
      <c r="E50" s="16"/>
      <c r="F50" s="16"/>
      <c r="G50" s="16"/>
      <c r="H50" s="16"/>
      <c r="I50" s="16"/>
      <c r="J50" s="16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AK50" s="15"/>
    </row>
    <row r="51" spans="1:37" ht="15.75" customHeight="1" x14ac:dyDescent="0.2">
      <c r="A51" s="1"/>
      <c r="B51" s="10"/>
      <c r="C51" s="16"/>
      <c r="D51" s="16"/>
      <c r="E51" s="16"/>
      <c r="F51" s="16"/>
      <c r="G51" s="16"/>
      <c r="H51" s="16"/>
      <c r="I51" s="16"/>
      <c r="J51" s="16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AK51" s="15"/>
    </row>
    <row r="52" spans="1:37" ht="15.75" customHeight="1" x14ac:dyDescent="0.2">
      <c r="A52" s="1"/>
      <c r="B52" s="11"/>
      <c r="C52" s="16"/>
      <c r="D52" s="16"/>
      <c r="E52" s="16"/>
      <c r="F52" s="16"/>
      <c r="G52" s="16"/>
      <c r="H52" s="16"/>
      <c r="I52" s="16"/>
      <c r="J52" s="16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AK52" s="15"/>
    </row>
    <row r="53" spans="1:37" ht="15.75" customHeight="1" x14ac:dyDescent="0.2">
      <c r="A53" s="1"/>
      <c r="B53" s="1"/>
      <c r="C53" s="16"/>
      <c r="D53" s="16"/>
      <c r="E53" s="16"/>
      <c r="F53" s="16"/>
      <c r="G53" s="16"/>
      <c r="H53" s="16"/>
      <c r="I53" s="16"/>
      <c r="J53" s="16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AK53" s="15"/>
    </row>
    <row r="54" spans="1:37" ht="15.75" customHeight="1" x14ac:dyDescent="0.2">
      <c r="A54" s="1"/>
      <c r="B54" s="10"/>
      <c r="C54" s="16"/>
      <c r="D54" s="16"/>
      <c r="E54" s="16"/>
      <c r="F54" s="16"/>
      <c r="G54" s="16"/>
      <c r="H54" s="16"/>
      <c r="I54" s="16"/>
      <c r="J54" s="16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AK54" s="15"/>
    </row>
    <row r="55" spans="1:37" ht="15.75" customHeight="1" x14ac:dyDescent="0.2">
      <c r="A55" s="1"/>
      <c r="B55" s="11"/>
      <c r="C55" s="16"/>
      <c r="D55" s="16"/>
      <c r="E55" s="16"/>
      <c r="F55" s="16"/>
      <c r="G55" s="16"/>
      <c r="H55" s="16"/>
      <c r="I55" s="16"/>
      <c r="J55" s="16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AK55" s="15"/>
    </row>
    <row r="56" spans="1:37" ht="15.75" customHeight="1" x14ac:dyDescent="0.2">
      <c r="A56" s="1"/>
      <c r="B56" s="11"/>
      <c r="C56" s="16"/>
      <c r="D56" s="16"/>
      <c r="E56" s="16"/>
      <c r="F56" s="16"/>
      <c r="G56" s="16"/>
      <c r="H56" s="16"/>
      <c r="I56" s="16"/>
      <c r="J56" s="1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AK56" s="15"/>
    </row>
    <row r="57" spans="1:37" ht="15.75" customHeight="1" x14ac:dyDescent="0.2">
      <c r="A57" s="1"/>
      <c r="B57" s="11"/>
      <c r="C57" s="16"/>
      <c r="D57" s="16"/>
      <c r="E57" s="16"/>
      <c r="F57" s="16"/>
      <c r="G57" s="16"/>
      <c r="H57" s="16"/>
      <c r="I57" s="16"/>
      <c r="J57" s="16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37" ht="15.75" customHeight="1" x14ac:dyDescent="0.2">
      <c r="A58" s="1"/>
      <c r="B58" s="17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37" ht="15.75" customHeight="1" x14ac:dyDescent="0.2">
      <c r="A59" s="1"/>
      <c r="B59" s="17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37" ht="15.75" customHeight="1" x14ac:dyDescent="0.2">
      <c r="A60" s="1"/>
      <c r="B60" s="26"/>
      <c r="C60" s="18"/>
      <c r="D60" s="18"/>
      <c r="E60" s="18"/>
      <c r="F60" s="18"/>
      <c r="G60" s="18"/>
      <c r="H60" s="18"/>
      <c r="I60" s="18"/>
      <c r="J60" s="18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37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AJ61" s="1"/>
      <c r="AK61" s="1"/>
    </row>
    <row r="62" spans="1:37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AJ62" s="1"/>
      <c r="AK62" s="1"/>
    </row>
    <row r="63" spans="1:37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AJ63" s="1"/>
      <c r="AK63" s="1"/>
    </row>
    <row r="64" spans="1:37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AJ64" s="1"/>
      <c r="AK64" s="1"/>
    </row>
    <row r="65" spans="1:37" ht="15.75" hidden="1" customHeight="1" thickBo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AJ65" s="1"/>
      <c r="AK65" s="1"/>
    </row>
    <row r="66" spans="1:37" ht="33.75" hidden="1" customHeight="1" thickTop="1" thickBot="1" x14ac:dyDescent="0.25">
      <c r="A66" s="1"/>
      <c r="B66" s="355" t="s">
        <v>80</v>
      </c>
      <c r="C66" s="356"/>
      <c r="D66" s="356"/>
      <c r="E66" s="356"/>
      <c r="F66" s="356"/>
      <c r="G66" s="356"/>
      <c r="H66" s="356"/>
      <c r="I66" s="356"/>
      <c r="J66" s="356"/>
      <c r="K66" s="28"/>
      <c r="L66" s="1"/>
      <c r="M66" s="355" t="s">
        <v>81</v>
      </c>
      <c r="N66" s="356"/>
      <c r="O66" s="356"/>
      <c r="P66" s="356"/>
      <c r="Q66" s="356"/>
      <c r="R66" s="356"/>
      <c r="S66" s="356"/>
      <c r="T66" s="356"/>
      <c r="U66" s="356"/>
      <c r="V66" s="1"/>
      <c r="W66" s="1"/>
      <c r="X66" s="1"/>
      <c r="AJ66" s="1"/>
      <c r="AK66" s="1"/>
    </row>
    <row r="67" spans="1:37" ht="18.75" hidden="1" customHeight="1" thickTop="1" thickBot="1" x14ac:dyDescent="0.25">
      <c r="A67" s="1"/>
      <c r="B67" s="79"/>
      <c r="C67" s="80">
        <f>'Input keuzevariabelen'!$D$11</f>
        <v>2019</v>
      </c>
      <c r="D67" s="80">
        <f>C67+1</f>
        <v>2020</v>
      </c>
      <c r="E67" s="80">
        <f t="shared" ref="E67:H67" si="52">D67+1</f>
        <v>2021</v>
      </c>
      <c r="F67" s="80">
        <f t="shared" si="52"/>
        <v>2022</v>
      </c>
      <c r="G67" s="80">
        <f t="shared" si="52"/>
        <v>2023</v>
      </c>
      <c r="H67" s="80">
        <f t="shared" si="52"/>
        <v>2024</v>
      </c>
      <c r="I67" s="80">
        <f t="shared" ref="I67" si="53">H67+1</f>
        <v>2025</v>
      </c>
      <c r="J67" s="80">
        <f t="shared" ref="J67" si="54">I67+1</f>
        <v>2026</v>
      </c>
      <c r="L67" s="1"/>
      <c r="M67" s="79"/>
      <c r="N67" s="80">
        <f>'Input keuzevariabelen'!$D$11</f>
        <v>2019</v>
      </c>
      <c r="O67" s="80">
        <f>+N67+1</f>
        <v>2020</v>
      </c>
      <c r="P67" s="80">
        <f t="shared" ref="P67:S67" si="55">+O67+1</f>
        <v>2021</v>
      </c>
      <c r="Q67" s="80">
        <f t="shared" si="55"/>
        <v>2022</v>
      </c>
      <c r="R67" s="80">
        <f t="shared" si="55"/>
        <v>2023</v>
      </c>
      <c r="S67" s="80">
        <f t="shared" si="55"/>
        <v>2024</v>
      </c>
      <c r="T67" s="80">
        <f t="shared" ref="T67" si="56">+S67+1</f>
        <v>2025</v>
      </c>
      <c r="U67" s="80">
        <f t="shared" ref="U67" si="57">+T67+1</f>
        <v>2026</v>
      </c>
      <c r="V67" s="1"/>
      <c r="W67" s="1"/>
      <c r="X67" s="1"/>
      <c r="AJ67" s="1"/>
      <c r="AK67" s="1"/>
    </row>
    <row r="68" spans="1:37" ht="23.25" hidden="1" customHeight="1" thickTop="1" thickBot="1" x14ac:dyDescent="0.25">
      <c r="A68" s="1"/>
      <c r="B68" s="77" t="s">
        <v>16</v>
      </c>
      <c r="C68" s="78" t="s">
        <v>82</v>
      </c>
      <c r="D68" s="78" t="s">
        <v>82</v>
      </c>
      <c r="E68" s="78" t="s">
        <v>82</v>
      </c>
      <c r="F68" s="78" t="s">
        <v>82</v>
      </c>
      <c r="G68" s="78" t="s">
        <v>82</v>
      </c>
      <c r="H68" s="78" t="s">
        <v>82</v>
      </c>
      <c r="I68" s="78" t="s">
        <v>82</v>
      </c>
      <c r="J68" s="78" t="s">
        <v>82</v>
      </c>
      <c r="L68" s="1"/>
      <c r="M68" s="77" t="s">
        <v>16</v>
      </c>
      <c r="N68" s="78" t="s">
        <v>82</v>
      </c>
      <c r="O68" s="78" t="s">
        <v>82</v>
      </c>
      <c r="P68" s="78" t="s">
        <v>82</v>
      </c>
      <c r="Q68" s="78" t="s">
        <v>82</v>
      </c>
      <c r="R68" s="78" t="s">
        <v>82</v>
      </c>
      <c r="S68" s="78" t="s">
        <v>82</v>
      </c>
      <c r="T68" s="78" t="s">
        <v>82</v>
      </c>
      <c r="U68" s="78" t="s">
        <v>82</v>
      </c>
      <c r="V68" s="1"/>
      <c r="W68" s="1"/>
      <c r="X68" s="1"/>
      <c r="AJ68" s="1"/>
      <c r="AK68" s="1"/>
    </row>
    <row r="69" spans="1:37" ht="15.75" hidden="1" customHeight="1" thickTop="1" thickBot="1" x14ac:dyDescent="0.25">
      <c r="A69" s="1"/>
      <c r="B69" s="59" t="s">
        <v>21</v>
      </c>
      <c r="C69" s="83">
        <f>SUMIFS(Data!$N:$N,Data!$H:$H,$B69,Data!$E:$E,C$67,Data!$F:$F,C$68)</f>
        <v>0</v>
      </c>
      <c r="D69" s="83">
        <f>SUMIFS(Data!$N:$N,Data!$H:$H,$B69,Data!$E:$E,D$67,Data!$F:$F,D$68)</f>
        <v>0</v>
      </c>
      <c r="E69" s="83">
        <f>SUMIFS(Data!$N:$N,Data!$H:$H,$B69,Data!$E:$E,E$67,Data!$F:$F,E$68)</f>
        <v>0</v>
      </c>
      <c r="F69" s="83">
        <f>SUMIFS(Data!$N:$N,Data!$H:$H,$B69,Data!$E:$E,F$67,Data!$F:$F,F$68)</f>
        <v>0</v>
      </c>
      <c r="G69" s="83">
        <f>SUMIFS(Data!$N:$N,Data!$H:$H,$B69,Data!$E:$E,G$67,Data!$F:$F,G$68)</f>
        <v>0</v>
      </c>
      <c r="H69" s="83">
        <f>SUMIFS(Data!$N:$N,Data!$H:$H,$B69,Data!$E:$E,H$67,Data!$F:$F,H$68)</f>
        <v>0</v>
      </c>
      <c r="I69" s="83">
        <f>SUMIFS(Data!$N:$N,Data!$H:$H,$B69,Data!$E:$E,I$67,Data!$F:$F,I$68)</f>
        <v>0</v>
      </c>
      <c r="J69" s="83">
        <f>SUMIFS(Data!$N:$N,Data!$H:$H,$B69,Data!$E:$E,J$67,Data!$F:$F,J$68)</f>
        <v>0</v>
      </c>
      <c r="L69" s="1"/>
      <c r="M69" s="59" t="s">
        <v>21</v>
      </c>
      <c r="N69" s="83">
        <f>SUMIFS(Data!$N:$N,Data!$H:$H,$M69,Data!$E:$E,N$67,Data!$C:$C,$N$6,Data!$F:$F,N$68)</f>
        <v>0</v>
      </c>
      <c r="O69" s="83">
        <f>SUMIFS(Data!$N:$N,Data!$H:$H,$M69,Data!$E:$E,O$67,Data!$C:$C,$N$6,Data!$F:$F,O$68)</f>
        <v>0</v>
      </c>
      <c r="P69" s="83">
        <f>SUMIFS(Data!$N:$N,Data!$H:$H,$M69,Data!$E:$E,P$67,Data!$C:$C,$N$6,Data!$F:$F,P$68)</f>
        <v>0</v>
      </c>
      <c r="Q69" s="83">
        <f>SUMIFS(Data!$N:$N,Data!$H:$H,$M69,Data!$E:$E,Q$67,Data!$C:$C,$N$6,Data!$F:$F,Q$68)</f>
        <v>0</v>
      </c>
      <c r="R69" s="83">
        <f>SUMIFS(Data!$N:$N,Data!$H:$H,$M69,Data!$E:$E,R$67,Data!$C:$C,$N$6,Data!$F:$F,R$68)</f>
        <v>0</v>
      </c>
      <c r="S69" s="83">
        <f>SUMIFS(Data!$N:$N,Data!$H:$H,$M69,Data!$E:$E,S$67,Data!$C:$C,$N$6,Data!$F:$F,S$68)</f>
        <v>0</v>
      </c>
      <c r="T69" s="83">
        <f>SUMIFS(Data!$N:$N,Data!$H:$H,$M69,Data!$E:$E,T$67,Data!$C:$C,$N$6,Data!$F:$F,T$68)</f>
        <v>0</v>
      </c>
      <c r="U69" s="83">
        <f>SUMIFS(Data!$N:$N,Data!$H:$H,$M69,Data!$E:$E,U$67,Data!$C:$C,$N$6,Data!$F:$F,U$68)</f>
        <v>0</v>
      </c>
      <c r="V69" s="1"/>
      <c r="W69" s="1"/>
      <c r="X69" s="1"/>
      <c r="AJ69" s="1"/>
      <c r="AK69" s="1"/>
    </row>
    <row r="70" spans="1:37" ht="15.75" hidden="1" customHeight="1" thickTop="1" thickBot="1" x14ac:dyDescent="0.25">
      <c r="A70" s="1"/>
      <c r="B70" s="63" t="s">
        <v>83</v>
      </c>
      <c r="C70" s="83">
        <f>SUMIFS(Data!$N:$N,Data!$H:$H,$B70,Data!$E:$E,C$67,Data!$F:$F,C$68)</f>
        <v>0</v>
      </c>
      <c r="D70" s="83">
        <f>SUMIFS(Data!$N:$N,Data!$H:$H,$B70,Data!$E:$E,D$67,Data!$F:$F,D$68)</f>
        <v>0</v>
      </c>
      <c r="E70" s="83">
        <f>SUMIFS(Data!$N:$N,Data!$H:$H,$B70,Data!$E:$E,E$67,Data!$F:$F,E$68)</f>
        <v>0</v>
      </c>
      <c r="F70" s="83">
        <f>SUMIFS(Data!$N:$N,Data!$H:$H,$B70,Data!$E:$E,F$67,Data!$F:$F,F$68)</f>
        <v>0</v>
      </c>
      <c r="G70" s="83">
        <f>SUMIFS(Data!$N:$N,Data!$H:$H,$B70,Data!$E:$E,G$67,Data!$F:$F,G$68)</f>
        <v>0</v>
      </c>
      <c r="H70" s="83">
        <f>SUMIFS(Data!$N:$N,Data!$H:$H,$B70,Data!$E:$E,H$67,Data!$F:$F,H$68)</f>
        <v>0</v>
      </c>
      <c r="I70" s="83">
        <f>SUMIFS(Data!$N:$N,Data!$H:$H,$B70,Data!$E:$E,I$67,Data!$F:$F,I$68)</f>
        <v>0</v>
      </c>
      <c r="J70" s="83">
        <f>SUMIFS(Data!$N:$N,Data!$H:$H,$B70,Data!$E:$E,J$67,Data!$F:$F,J$68)</f>
        <v>0</v>
      </c>
      <c r="L70" s="1"/>
      <c r="M70" s="63" t="s">
        <v>83</v>
      </c>
      <c r="N70" s="83">
        <f>SUMIFS(Data!$N:$N,Data!$H:$H,$M70,Data!$E:$E,N$67,Data!$C:$C,$N$6,Data!$F:$F,N$68)</f>
        <v>0</v>
      </c>
      <c r="O70" s="83">
        <f>SUMIFS(Data!$N:$N,Data!$H:$H,$M70,Data!$E:$E,O$67,Data!$C:$C,$N$6,Data!$F:$F,O$68)</f>
        <v>0</v>
      </c>
      <c r="P70" s="83">
        <f>SUMIFS(Data!$N:$N,Data!$H:$H,$M70,Data!$E:$E,P$67,Data!$C:$C,$N$6,Data!$F:$F,P$68)</f>
        <v>0</v>
      </c>
      <c r="Q70" s="83">
        <f>SUMIFS(Data!$N:$N,Data!$H:$H,$M70,Data!$E:$E,Q$67,Data!$C:$C,$N$6,Data!$F:$F,Q$68)</f>
        <v>0</v>
      </c>
      <c r="R70" s="83">
        <f>SUMIFS(Data!$N:$N,Data!$H:$H,$M70,Data!$E:$E,R$67,Data!$C:$C,$N$6,Data!$F:$F,R$68)</f>
        <v>0</v>
      </c>
      <c r="S70" s="83">
        <f>SUMIFS(Data!$N:$N,Data!$H:$H,$M70,Data!$E:$E,S$67,Data!$C:$C,$N$6,Data!$F:$F,S$68)</f>
        <v>0</v>
      </c>
      <c r="T70" s="83">
        <f>SUMIFS(Data!$N:$N,Data!$H:$H,$M70,Data!$E:$E,T$67,Data!$C:$C,$N$6,Data!$F:$F,T$68)</f>
        <v>0</v>
      </c>
      <c r="U70" s="83">
        <f>SUMIFS(Data!$N:$N,Data!$H:$H,$M70,Data!$E:$E,U$67,Data!$C:$C,$N$6,Data!$F:$F,U$68)</f>
        <v>0</v>
      </c>
      <c r="V70" s="1"/>
      <c r="W70" s="1"/>
      <c r="X70" s="1"/>
      <c r="AJ70" s="1"/>
      <c r="AK70" s="1"/>
    </row>
    <row r="71" spans="1:37" ht="15.75" hidden="1" customHeight="1" thickTop="1" thickBot="1" x14ac:dyDescent="0.25">
      <c r="A71" s="1"/>
      <c r="B71" s="63" t="s">
        <v>84</v>
      </c>
      <c r="C71" s="83">
        <f>SUMIFS(Data!$N:$N,Data!$H:$H,$B71,Data!$E:$E,C$67,Data!$F:$F,C$68)</f>
        <v>0</v>
      </c>
      <c r="D71" s="83">
        <f>SUMIFS(Data!$N:$N,Data!$H:$H,$B71,Data!$E:$E,D$67,Data!$F:$F,D$68)</f>
        <v>0</v>
      </c>
      <c r="E71" s="83">
        <f>SUMIFS(Data!$N:$N,Data!$H:$H,$B71,Data!$E:$E,E$67,Data!$F:$F,E$68)</f>
        <v>0</v>
      </c>
      <c r="F71" s="83">
        <f>SUMIFS(Data!$N:$N,Data!$H:$H,$B71,Data!$E:$E,F$67,Data!$F:$F,F$68)</f>
        <v>0</v>
      </c>
      <c r="G71" s="83">
        <f>SUMIFS(Data!$N:$N,Data!$H:$H,$B71,Data!$E:$E,G$67,Data!$F:$F,G$68)</f>
        <v>0</v>
      </c>
      <c r="H71" s="83">
        <f>SUMIFS(Data!$N:$N,Data!$H:$H,$B71,Data!$E:$E,H$67,Data!$F:$F,H$68)</f>
        <v>0</v>
      </c>
      <c r="I71" s="83">
        <f>SUMIFS(Data!$N:$N,Data!$H:$H,$B71,Data!$E:$E,I$67,Data!$F:$F,I$68)</f>
        <v>0</v>
      </c>
      <c r="J71" s="83">
        <f>SUMIFS(Data!$N:$N,Data!$H:$H,$B71,Data!$E:$E,J$67,Data!$F:$F,J$68)</f>
        <v>0</v>
      </c>
      <c r="L71" s="1"/>
      <c r="M71" s="63" t="s">
        <v>84</v>
      </c>
      <c r="N71" s="83">
        <f>SUMIFS(Data!$N:$N,Data!$H:$H,$M71,Data!$E:$E,N$67,Data!$C:$C,$N$6,Data!$F:$F,N$68)</f>
        <v>0</v>
      </c>
      <c r="O71" s="83">
        <f>SUMIFS(Data!$N:$N,Data!$H:$H,$M71,Data!$E:$E,O$67,Data!$C:$C,$N$6,Data!$F:$F,O$68)</f>
        <v>0</v>
      </c>
      <c r="P71" s="83">
        <f>SUMIFS(Data!$N:$N,Data!$H:$H,$M71,Data!$E:$E,P$67,Data!$C:$C,$N$6,Data!$F:$F,P$68)</f>
        <v>0</v>
      </c>
      <c r="Q71" s="83">
        <f>SUMIFS(Data!$N:$N,Data!$H:$H,$M71,Data!$E:$E,Q$67,Data!$C:$C,$N$6,Data!$F:$F,Q$68)</f>
        <v>0</v>
      </c>
      <c r="R71" s="83">
        <f>SUMIFS(Data!$N:$N,Data!$H:$H,$M71,Data!$E:$E,R$67,Data!$C:$C,$N$6,Data!$F:$F,R$68)</f>
        <v>0</v>
      </c>
      <c r="S71" s="83">
        <f>SUMIFS(Data!$N:$N,Data!$H:$H,$M71,Data!$E:$E,S$67,Data!$C:$C,$N$6,Data!$F:$F,S$68)</f>
        <v>0</v>
      </c>
      <c r="T71" s="83">
        <f>SUMIFS(Data!$N:$N,Data!$H:$H,$M71,Data!$E:$E,T$67,Data!$C:$C,$N$6,Data!$F:$F,T$68)</f>
        <v>0</v>
      </c>
      <c r="U71" s="83">
        <f>SUMIFS(Data!$N:$N,Data!$H:$H,$M71,Data!$E:$E,U$67,Data!$C:$C,$N$6,Data!$F:$F,U$68)</f>
        <v>0</v>
      </c>
      <c r="V71" s="1"/>
      <c r="W71" s="1"/>
      <c r="X71" s="1"/>
      <c r="AJ71" s="1"/>
      <c r="AK71" s="1"/>
    </row>
    <row r="72" spans="1:37" ht="15.75" hidden="1" customHeight="1" thickTop="1" thickBot="1" x14ac:dyDescent="0.25">
      <c r="A72" s="1"/>
      <c r="B72" s="63" t="s">
        <v>85</v>
      </c>
      <c r="C72" s="83">
        <f>SUMIFS(Data!$N:$N,Data!$H:$H,$B72,Data!$E:$E,C$67,Data!$F:$F,C$68)</f>
        <v>0</v>
      </c>
      <c r="D72" s="83">
        <f>SUMIFS(Data!$N:$N,Data!$H:$H,$B72,Data!$E:$E,D$67,Data!$F:$F,D$68)</f>
        <v>0</v>
      </c>
      <c r="E72" s="83">
        <f>SUMIFS(Data!$N:$N,Data!$H:$H,$B72,Data!$E:$E,E$67,Data!$F:$F,E$68)</f>
        <v>0</v>
      </c>
      <c r="F72" s="83">
        <f>SUMIFS(Data!$N:$N,Data!$H:$H,$B72,Data!$E:$E,F$67,Data!$F:$F,F$68)</f>
        <v>0</v>
      </c>
      <c r="G72" s="83">
        <f>SUMIFS(Data!$N:$N,Data!$H:$H,$B72,Data!$E:$E,G$67,Data!$F:$F,G$68)</f>
        <v>0</v>
      </c>
      <c r="H72" s="83">
        <f>SUMIFS(Data!$N:$N,Data!$H:$H,$B72,Data!$E:$E,H$67,Data!$F:$F,H$68)</f>
        <v>0</v>
      </c>
      <c r="I72" s="83">
        <f>SUMIFS(Data!$N:$N,Data!$H:$H,$B72,Data!$E:$E,I$67,Data!$F:$F,I$68)</f>
        <v>0</v>
      </c>
      <c r="J72" s="83">
        <f>SUMIFS(Data!$N:$N,Data!$H:$H,$B72,Data!$E:$E,J$67,Data!$F:$F,J$68)</f>
        <v>0</v>
      </c>
      <c r="L72" s="1"/>
      <c r="M72" s="63" t="s">
        <v>85</v>
      </c>
      <c r="N72" s="83">
        <f>SUMIFS(Data!$N:$N,Data!$H:$H,$M72,Data!$E:$E,N$67,Data!$C:$C,$N$6,Data!$F:$F,N$68)</f>
        <v>0</v>
      </c>
      <c r="O72" s="83">
        <f>SUMIFS(Data!$N:$N,Data!$H:$H,$M72,Data!$E:$E,O$67,Data!$C:$C,$N$6,Data!$F:$F,O$68)</f>
        <v>0</v>
      </c>
      <c r="P72" s="83">
        <f>SUMIFS(Data!$N:$N,Data!$H:$H,$M72,Data!$E:$E,P$67,Data!$C:$C,$N$6,Data!$F:$F,P$68)</f>
        <v>0</v>
      </c>
      <c r="Q72" s="83">
        <f>SUMIFS(Data!$N:$N,Data!$H:$H,$M72,Data!$E:$E,Q$67,Data!$C:$C,$N$6,Data!$F:$F,Q$68)</f>
        <v>0</v>
      </c>
      <c r="R72" s="83">
        <f>SUMIFS(Data!$N:$N,Data!$H:$H,$M72,Data!$E:$E,R$67,Data!$C:$C,$N$6,Data!$F:$F,R$68)</f>
        <v>0</v>
      </c>
      <c r="S72" s="83">
        <f>SUMIFS(Data!$N:$N,Data!$H:$H,$M72,Data!$E:$E,S$67,Data!$C:$C,$N$6,Data!$F:$F,S$68)</f>
        <v>0</v>
      </c>
      <c r="T72" s="83">
        <f>SUMIFS(Data!$N:$N,Data!$H:$H,$M72,Data!$E:$E,T$67,Data!$C:$C,$N$6,Data!$F:$F,T$68)</f>
        <v>0</v>
      </c>
      <c r="U72" s="83">
        <f>SUMIFS(Data!$N:$N,Data!$H:$H,$M72,Data!$E:$E,U$67,Data!$C:$C,$N$6,Data!$F:$F,U$68)</f>
        <v>0</v>
      </c>
      <c r="V72" s="1"/>
      <c r="W72" s="1"/>
      <c r="X72" s="1"/>
      <c r="AJ72" s="1"/>
      <c r="AK72" s="1"/>
    </row>
    <row r="73" spans="1:37" ht="15.75" hidden="1" customHeight="1" thickTop="1" thickBot="1" x14ac:dyDescent="0.25">
      <c r="A73" s="1"/>
      <c r="B73" s="63" t="s">
        <v>86</v>
      </c>
      <c r="C73" s="83">
        <f>SUMIFS(Data!$N:$N,Data!$H:$H,$B73,Data!$E:$E,C$67,Data!$F:$F,C$68)</f>
        <v>0</v>
      </c>
      <c r="D73" s="83">
        <f>SUMIFS(Data!$N:$N,Data!$H:$H,$B73,Data!$E:$E,D$67,Data!$F:$F,D$68)</f>
        <v>0</v>
      </c>
      <c r="E73" s="83">
        <f>SUMIFS(Data!$N:$N,Data!$H:$H,$B73,Data!$E:$E,E$67,Data!$F:$F,E$68)</f>
        <v>0</v>
      </c>
      <c r="F73" s="83">
        <f>SUMIFS(Data!$N:$N,Data!$H:$H,$B73,Data!$E:$E,F$67,Data!$F:$F,F$68)</f>
        <v>0</v>
      </c>
      <c r="G73" s="83">
        <f>SUMIFS(Data!$N:$N,Data!$H:$H,$B73,Data!$E:$E,G$67,Data!$F:$F,G$68)</f>
        <v>0</v>
      </c>
      <c r="H73" s="83">
        <f>SUMIFS(Data!$N:$N,Data!$H:$H,$B73,Data!$E:$E,H$67,Data!$F:$F,H$68)</f>
        <v>0</v>
      </c>
      <c r="I73" s="83">
        <f>SUMIFS(Data!$N:$N,Data!$H:$H,$B73,Data!$E:$E,I$67,Data!$F:$F,I$68)</f>
        <v>0</v>
      </c>
      <c r="J73" s="83">
        <f>SUMIFS(Data!$N:$N,Data!$H:$H,$B73,Data!$E:$E,J$67,Data!$F:$F,J$68)</f>
        <v>0</v>
      </c>
      <c r="L73" s="1"/>
      <c r="M73" s="63" t="s">
        <v>86</v>
      </c>
      <c r="N73" s="83">
        <f>SUMIFS(Data!$N:$N,Data!$H:$H,$M73,Data!$E:$E,N$67,Data!$C:$C,$N$6,Data!$F:$F,N$68)</f>
        <v>0</v>
      </c>
      <c r="O73" s="83">
        <f>SUMIFS(Data!$N:$N,Data!$H:$H,$M73,Data!$E:$E,O$67,Data!$C:$C,$N$6,Data!$F:$F,O$68)</f>
        <v>0</v>
      </c>
      <c r="P73" s="83">
        <f>SUMIFS(Data!$N:$N,Data!$H:$H,$M73,Data!$E:$E,P$67,Data!$C:$C,$N$6,Data!$F:$F,P$68)</f>
        <v>0</v>
      </c>
      <c r="Q73" s="83">
        <f>SUMIFS(Data!$N:$N,Data!$H:$H,$M73,Data!$E:$E,Q$67,Data!$C:$C,$N$6,Data!$F:$F,Q$68)</f>
        <v>0</v>
      </c>
      <c r="R73" s="83">
        <f>SUMIFS(Data!$N:$N,Data!$H:$H,$M73,Data!$E:$E,R$67,Data!$C:$C,$N$6,Data!$F:$F,R$68)</f>
        <v>0</v>
      </c>
      <c r="S73" s="83">
        <f>SUMIFS(Data!$N:$N,Data!$H:$H,$M73,Data!$E:$E,S$67,Data!$C:$C,$N$6,Data!$F:$F,S$68)</f>
        <v>0</v>
      </c>
      <c r="T73" s="83">
        <f>SUMIFS(Data!$N:$N,Data!$H:$H,$M73,Data!$E:$E,T$67,Data!$C:$C,$N$6,Data!$F:$F,T$68)</f>
        <v>0</v>
      </c>
      <c r="U73" s="83">
        <f>SUMIFS(Data!$N:$N,Data!$H:$H,$M73,Data!$E:$E,U$67,Data!$C:$C,$N$6,Data!$F:$F,U$68)</f>
        <v>0</v>
      </c>
      <c r="V73" s="1"/>
      <c r="W73" s="1"/>
      <c r="X73" s="1"/>
      <c r="AJ73" s="1"/>
      <c r="AK73" s="1"/>
    </row>
    <row r="74" spans="1:37" ht="15.75" hidden="1" customHeight="1" thickTop="1" thickBot="1" x14ac:dyDescent="0.25">
      <c r="A74" s="1"/>
      <c r="B74" s="63" t="s">
        <v>87</v>
      </c>
      <c r="C74" s="83">
        <f>SUMIFS(Data!$N:$N,Data!$H:$H,$B74,Data!$E:$E,C$67,Data!$F:$F,C$68)</f>
        <v>0</v>
      </c>
      <c r="D74" s="83">
        <f>SUMIFS(Data!$N:$N,Data!$H:$H,$B74,Data!$E:$E,D$67,Data!$F:$F,D$68)</f>
        <v>0</v>
      </c>
      <c r="E74" s="83">
        <f>SUMIFS(Data!$N:$N,Data!$H:$H,$B74,Data!$E:$E,E$67,Data!$F:$F,E$68)</f>
        <v>0</v>
      </c>
      <c r="F74" s="83">
        <f>SUMIFS(Data!$N:$N,Data!$H:$H,$B74,Data!$E:$E,F$67,Data!$F:$F,F$68)</f>
        <v>0</v>
      </c>
      <c r="G74" s="83">
        <f>SUMIFS(Data!$N:$N,Data!$H:$H,$B74,Data!$E:$E,G$67,Data!$F:$F,G$68)</f>
        <v>0</v>
      </c>
      <c r="H74" s="83">
        <f>SUMIFS(Data!$N:$N,Data!$H:$H,$B74,Data!$E:$E,H$67,Data!$F:$F,H$68)</f>
        <v>0</v>
      </c>
      <c r="I74" s="83">
        <f>SUMIFS(Data!$N:$N,Data!$H:$H,$B74,Data!$E:$E,I$67,Data!$F:$F,I$68)</f>
        <v>0</v>
      </c>
      <c r="J74" s="83">
        <f>SUMIFS(Data!$N:$N,Data!$H:$H,$B74,Data!$E:$E,J$67,Data!$F:$F,J$68)</f>
        <v>0</v>
      </c>
      <c r="L74" s="1"/>
      <c r="M74" s="63" t="s">
        <v>87</v>
      </c>
      <c r="N74" s="83">
        <f>SUMIFS(Data!$N:$N,Data!$H:$H,$M74,Data!$E:$E,N$67,Data!$C:$C,$N$6,Data!$F:$F,N$68)</f>
        <v>0</v>
      </c>
      <c r="O74" s="83">
        <f>SUMIFS(Data!$N:$N,Data!$H:$H,$M74,Data!$E:$E,O$67,Data!$C:$C,$N$6,Data!$F:$F,O$68)</f>
        <v>0</v>
      </c>
      <c r="P74" s="83">
        <f>SUMIFS(Data!$N:$N,Data!$H:$H,$M74,Data!$E:$E,P$67,Data!$C:$C,$N$6,Data!$F:$F,P$68)</f>
        <v>0</v>
      </c>
      <c r="Q74" s="83">
        <f>SUMIFS(Data!$N:$N,Data!$H:$H,$M74,Data!$E:$E,Q$67,Data!$C:$C,$N$6,Data!$F:$F,Q$68)</f>
        <v>0</v>
      </c>
      <c r="R74" s="83">
        <f>SUMIFS(Data!$N:$N,Data!$H:$H,$M74,Data!$E:$E,R$67,Data!$C:$C,$N$6,Data!$F:$F,R$68)</f>
        <v>0</v>
      </c>
      <c r="S74" s="83">
        <f>SUMIFS(Data!$N:$N,Data!$H:$H,$M74,Data!$E:$E,S$67,Data!$C:$C,$N$6,Data!$F:$F,S$68)</f>
        <v>0</v>
      </c>
      <c r="T74" s="83">
        <f>SUMIFS(Data!$N:$N,Data!$H:$H,$M74,Data!$E:$E,T$67,Data!$C:$C,$N$6,Data!$F:$F,T$68)</f>
        <v>0</v>
      </c>
      <c r="U74" s="83">
        <f>SUMIFS(Data!$N:$N,Data!$H:$H,$M74,Data!$E:$E,U$67,Data!$C:$C,$N$6,Data!$F:$F,U$68)</f>
        <v>0</v>
      </c>
      <c r="V74" s="1"/>
      <c r="W74" s="1"/>
      <c r="X74" s="1"/>
      <c r="AJ74" s="1"/>
      <c r="AK74" s="1"/>
    </row>
    <row r="75" spans="1:37" ht="15.75" hidden="1" customHeight="1" thickTop="1" thickBot="1" x14ac:dyDescent="0.25">
      <c r="A75" s="1"/>
      <c r="B75" s="63" t="s">
        <v>88</v>
      </c>
      <c r="C75" s="83">
        <f>SUMIFS(Data!$N:$N,Data!$H:$H,$B75,Data!$E:$E,C$67,Data!$F:$F,C$68)</f>
        <v>0</v>
      </c>
      <c r="D75" s="83">
        <f>SUMIFS(Data!$N:$N,Data!$H:$H,$B75,Data!$E:$E,D$67,Data!$F:$F,D$68)</f>
        <v>0</v>
      </c>
      <c r="E75" s="83">
        <f>SUMIFS(Data!$N:$N,Data!$H:$H,$B75,Data!$E:$E,E$67,Data!$F:$F,E$68)</f>
        <v>0</v>
      </c>
      <c r="F75" s="83">
        <f>SUMIFS(Data!$N:$N,Data!$H:$H,$B75,Data!$E:$E,F$67,Data!$F:$F,F$68)</f>
        <v>0</v>
      </c>
      <c r="G75" s="83">
        <f>SUMIFS(Data!$N:$N,Data!$H:$H,$B75,Data!$E:$E,G$67,Data!$F:$F,G$68)</f>
        <v>0</v>
      </c>
      <c r="H75" s="83">
        <f>SUMIFS(Data!$N:$N,Data!$H:$H,$B75,Data!$E:$E,H$67,Data!$F:$F,H$68)</f>
        <v>0</v>
      </c>
      <c r="I75" s="83">
        <f>SUMIFS(Data!$N:$N,Data!$H:$H,$B75,Data!$E:$E,I$67,Data!$F:$F,I$68)</f>
        <v>0</v>
      </c>
      <c r="J75" s="83">
        <f>SUMIFS(Data!$N:$N,Data!$H:$H,$B75,Data!$E:$E,J$67,Data!$F:$F,J$68)</f>
        <v>0</v>
      </c>
      <c r="L75" s="1"/>
      <c r="M75" s="63" t="s">
        <v>88</v>
      </c>
      <c r="N75" s="83">
        <f>SUMIFS(Data!$N:$N,Data!$H:$H,$M75,Data!$E:$E,N$67,Data!$C:$C,$N$6,Data!$F:$F,N$68)</f>
        <v>0</v>
      </c>
      <c r="O75" s="83">
        <f>SUMIFS(Data!$N:$N,Data!$H:$H,$M75,Data!$E:$E,O$67,Data!$C:$C,$N$6,Data!$F:$F,O$68)</f>
        <v>0</v>
      </c>
      <c r="P75" s="83">
        <f>SUMIFS(Data!$N:$N,Data!$H:$H,$M75,Data!$E:$E,P$67,Data!$C:$C,$N$6,Data!$F:$F,P$68)</f>
        <v>0</v>
      </c>
      <c r="Q75" s="83">
        <f>SUMIFS(Data!$N:$N,Data!$H:$H,$M75,Data!$E:$E,Q$67,Data!$C:$C,$N$6,Data!$F:$F,Q$68)</f>
        <v>0</v>
      </c>
      <c r="R75" s="83">
        <f>SUMIFS(Data!$N:$N,Data!$H:$H,$M75,Data!$E:$E,R$67,Data!$C:$C,$N$6,Data!$F:$F,R$68)</f>
        <v>0</v>
      </c>
      <c r="S75" s="83">
        <f>SUMIFS(Data!$N:$N,Data!$H:$H,$M75,Data!$E:$E,S$67,Data!$C:$C,$N$6,Data!$F:$F,S$68)</f>
        <v>0</v>
      </c>
      <c r="T75" s="83">
        <f>SUMIFS(Data!$N:$N,Data!$H:$H,$M75,Data!$E:$E,T$67,Data!$C:$C,$N$6,Data!$F:$F,T$68)</f>
        <v>0</v>
      </c>
      <c r="U75" s="83">
        <f>SUMIFS(Data!$N:$N,Data!$H:$H,$M75,Data!$E:$E,U$67,Data!$C:$C,$N$6,Data!$F:$F,U$68)</f>
        <v>0</v>
      </c>
      <c r="V75" s="1"/>
      <c r="W75" s="1"/>
      <c r="X75" s="1"/>
      <c r="AJ75" s="1"/>
      <c r="AK75" s="1"/>
    </row>
    <row r="76" spans="1:37" ht="15.75" hidden="1" customHeight="1" thickTop="1" thickBot="1" x14ac:dyDescent="0.25">
      <c r="A76" s="1"/>
      <c r="B76" s="81" t="s">
        <v>67</v>
      </c>
      <c r="C76" s="82">
        <f t="shared" ref="C76:J76" si="58">SUM(C69:C75)</f>
        <v>0</v>
      </c>
      <c r="D76" s="82">
        <f t="shared" si="58"/>
        <v>0</v>
      </c>
      <c r="E76" s="82">
        <f t="shared" si="58"/>
        <v>0</v>
      </c>
      <c r="F76" s="82">
        <f t="shared" si="58"/>
        <v>0</v>
      </c>
      <c r="G76" s="82">
        <f t="shared" si="58"/>
        <v>0</v>
      </c>
      <c r="H76" s="82">
        <f t="shared" si="58"/>
        <v>0</v>
      </c>
      <c r="I76" s="82">
        <f t="shared" si="58"/>
        <v>0</v>
      </c>
      <c r="J76" s="82">
        <f t="shared" si="58"/>
        <v>0</v>
      </c>
      <c r="L76" s="1"/>
      <c r="M76" s="81" t="s">
        <v>67</v>
      </c>
      <c r="N76" s="82">
        <f t="shared" ref="N76:U76" si="59">SUM(N69:N75)</f>
        <v>0</v>
      </c>
      <c r="O76" s="82">
        <f t="shared" si="59"/>
        <v>0</v>
      </c>
      <c r="P76" s="82">
        <f t="shared" si="59"/>
        <v>0</v>
      </c>
      <c r="Q76" s="82">
        <f t="shared" si="59"/>
        <v>0</v>
      </c>
      <c r="R76" s="82">
        <f t="shared" si="59"/>
        <v>0</v>
      </c>
      <c r="S76" s="82">
        <f t="shared" si="59"/>
        <v>0</v>
      </c>
      <c r="T76" s="82">
        <f t="shared" si="59"/>
        <v>0</v>
      </c>
      <c r="U76" s="82">
        <f t="shared" si="59"/>
        <v>0</v>
      </c>
      <c r="V76" s="1"/>
      <c r="W76" s="1"/>
      <c r="X76" s="1"/>
      <c r="AJ76" s="1"/>
      <c r="AK76" s="1"/>
    </row>
    <row r="77" spans="1:37" ht="15.75" hidden="1" customHeight="1" thickTop="1" thickBot="1" x14ac:dyDescent="0.25">
      <c r="A77" s="1"/>
      <c r="B77" s="77" t="s">
        <v>28</v>
      </c>
      <c r="C77" s="78"/>
      <c r="D77" s="78"/>
      <c r="E77" s="78"/>
      <c r="F77" s="78"/>
      <c r="G77" s="78"/>
      <c r="H77" s="78"/>
      <c r="I77" s="78"/>
      <c r="J77" s="78"/>
      <c r="L77" s="1"/>
      <c r="M77" s="77" t="s">
        <v>28</v>
      </c>
      <c r="N77" s="78"/>
      <c r="O77" s="78"/>
      <c r="P77" s="78"/>
      <c r="Q77" s="78"/>
      <c r="R77" s="78"/>
      <c r="S77" s="78"/>
      <c r="T77" s="78"/>
      <c r="U77" s="78"/>
      <c r="V77" s="1"/>
      <c r="W77" s="1"/>
      <c r="X77" s="1"/>
      <c r="AJ77" s="1"/>
      <c r="AK77" s="1"/>
    </row>
    <row r="78" spans="1:37" ht="15.75" hidden="1" customHeight="1" thickTop="1" thickBot="1" x14ac:dyDescent="0.25">
      <c r="A78" s="1"/>
      <c r="B78" s="69" t="s">
        <v>29</v>
      </c>
      <c r="C78" s="83">
        <f>SUMIFS(Data!$N:$N,Data!$H:$H,$B78,Data!$E:$E,C$67,Data!$F:$F,C$68)</f>
        <v>0</v>
      </c>
      <c r="D78" s="83">
        <f>SUMIFS(Data!$N:$N,Data!$H:$H,$B78,Data!$E:$E,D$67,Data!$F:$F,D$68)</f>
        <v>0</v>
      </c>
      <c r="E78" s="83">
        <f>SUMIFS(Data!$N:$N,Data!$H:$H,$B78,Data!$E:$E,E$67,Data!$F:$F,E$68)</f>
        <v>0</v>
      </c>
      <c r="F78" s="83">
        <f>SUMIFS(Data!$N:$N,Data!$H:$H,$B78,Data!$E:$E,F$67,Data!$F:$F,F$68)</f>
        <v>0</v>
      </c>
      <c r="G78" s="83">
        <f>SUMIFS(Data!$N:$N,Data!$H:$H,$B78,Data!$E:$E,G$67,Data!$F:$F,G$68)</f>
        <v>0</v>
      </c>
      <c r="H78" s="83">
        <f>SUMIFS(Data!$N:$N,Data!$H:$H,$B78,Data!$E:$E,H$67,Data!$F:$F,H$68)</f>
        <v>0</v>
      </c>
      <c r="I78" s="83">
        <f>SUMIFS(Data!$N:$N,Data!$H:$H,$B78,Data!$E:$E,I$67,Data!$F:$F,I$68)</f>
        <v>0</v>
      </c>
      <c r="J78" s="83">
        <f>SUMIFS(Data!$N:$N,Data!$H:$H,$B78,Data!$E:$E,J$67,Data!$F:$F,J$68)</f>
        <v>0</v>
      </c>
      <c r="L78" s="1"/>
      <c r="M78" s="69" t="s">
        <v>29</v>
      </c>
      <c r="N78" s="83">
        <f>SUMIFS(Data!$N:$N,Data!$H:$H,$M78,Data!$E:$E,N$67,Data!$C:$C,$N$6,Data!$F:$F,N$68)</f>
        <v>0</v>
      </c>
      <c r="O78" s="83">
        <f>SUMIFS(Data!$N:$N,Data!$H:$H,$M78,Data!$E:$E,O$67,Data!$C:$C,$N$6,Data!$F:$F,O$68)</f>
        <v>0</v>
      </c>
      <c r="P78" s="83">
        <f>SUMIFS(Data!$N:$N,Data!$H:$H,$M78,Data!$E:$E,P$67,Data!$C:$C,$N$6,Data!$F:$F,P$68)</f>
        <v>0</v>
      </c>
      <c r="Q78" s="83">
        <f>SUMIFS(Data!$N:$N,Data!$H:$H,$M78,Data!$E:$E,Q$67,Data!$C:$C,$N$6,Data!$F:$F,Q$68)</f>
        <v>0</v>
      </c>
      <c r="R78" s="83">
        <f>SUMIFS(Data!$N:$N,Data!$H:$H,$M78,Data!$E:$E,R$67,Data!$C:$C,$N$6,Data!$F:$F,R$68)</f>
        <v>0</v>
      </c>
      <c r="S78" s="83">
        <f>SUMIFS(Data!$N:$N,Data!$H:$H,$M78,Data!$E:$E,S$67,Data!$C:$C,$N$6,Data!$F:$F,S$68)</f>
        <v>0</v>
      </c>
      <c r="T78" s="83">
        <f>SUMIFS(Data!$N:$N,Data!$H:$H,$M78,Data!$E:$E,T$67,Data!$C:$C,$N$6,Data!$F:$F,T$68)</f>
        <v>0</v>
      </c>
      <c r="U78" s="83">
        <f>SUMIFS(Data!$N:$N,Data!$H:$H,$M78,Data!$E:$E,U$67,Data!$C:$C,$N$6,Data!$F:$F,U$68)</f>
        <v>0</v>
      </c>
      <c r="V78" s="1"/>
      <c r="W78" s="1"/>
      <c r="X78" s="1"/>
      <c r="AJ78" s="1"/>
      <c r="AK78" s="1"/>
    </row>
    <row r="79" spans="1:37" ht="15.75" hidden="1" customHeight="1" thickTop="1" thickBot="1" x14ac:dyDescent="0.25">
      <c r="A79" s="1"/>
      <c r="B79" s="69" t="s">
        <v>31</v>
      </c>
      <c r="C79" s="83">
        <f>SUMIFS(Data!$N:$N,Data!$H:$H,$B79,Data!$E:$E,C$67,Data!$F:$F,C$68)</f>
        <v>0</v>
      </c>
      <c r="D79" s="83">
        <f>SUMIFS(Data!$N:$N,Data!$H:$H,$B79,Data!$E:$E,D$67,Data!$F:$F,D$68)</f>
        <v>0</v>
      </c>
      <c r="E79" s="83">
        <f>SUMIFS(Data!$N:$N,Data!$H:$H,$B79,Data!$E:$E,E$67,Data!$F:$F,E$68)</f>
        <v>0</v>
      </c>
      <c r="F79" s="83">
        <f>SUMIFS(Data!$N:$N,Data!$H:$H,$B79,Data!$E:$E,F$67,Data!$F:$F,F$68)</f>
        <v>0</v>
      </c>
      <c r="G79" s="83">
        <f>SUMIFS(Data!$N:$N,Data!$H:$H,$B79,Data!$E:$E,G$67,Data!$F:$F,G$68)</f>
        <v>0</v>
      </c>
      <c r="H79" s="83">
        <f>SUMIFS(Data!$N:$N,Data!$H:$H,$B79,Data!$E:$E,H$67,Data!$F:$F,H$68)</f>
        <v>0</v>
      </c>
      <c r="I79" s="83">
        <f>SUMIFS(Data!$N:$N,Data!$H:$H,$B79,Data!$E:$E,I$67,Data!$F:$F,I$68)</f>
        <v>0</v>
      </c>
      <c r="J79" s="83">
        <f>SUMIFS(Data!$N:$N,Data!$H:$H,$B79,Data!$E:$E,J$67,Data!$F:$F,J$68)</f>
        <v>0</v>
      </c>
      <c r="L79" s="1"/>
      <c r="M79" s="69" t="s">
        <v>31</v>
      </c>
      <c r="N79" s="83">
        <f>SUMIFS(Data!$N:$N,Data!$H:$H,$M79,Data!$E:$E,N$67,Data!$C:$C,$N$6,Data!$F:$F,N$68)</f>
        <v>0</v>
      </c>
      <c r="O79" s="83">
        <f>SUMIFS(Data!$N:$N,Data!$H:$H,$M79,Data!$E:$E,O$67,Data!$C:$C,$N$6,Data!$F:$F,O$68)</f>
        <v>0</v>
      </c>
      <c r="P79" s="83">
        <f>SUMIFS(Data!$N:$N,Data!$H:$H,$M79,Data!$E:$E,P$67,Data!$C:$C,$N$6,Data!$F:$F,P$68)</f>
        <v>0</v>
      </c>
      <c r="Q79" s="83">
        <f>SUMIFS(Data!$N:$N,Data!$H:$H,$M79,Data!$E:$E,Q$67,Data!$C:$C,$N$6,Data!$F:$F,Q$68)</f>
        <v>0</v>
      </c>
      <c r="R79" s="83">
        <f>SUMIFS(Data!$N:$N,Data!$H:$H,$M79,Data!$E:$E,R$67,Data!$C:$C,$N$6,Data!$F:$F,R$68)</f>
        <v>0</v>
      </c>
      <c r="S79" s="83">
        <f>SUMIFS(Data!$N:$N,Data!$H:$H,$M79,Data!$E:$E,S$67,Data!$C:$C,$N$6,Data!$F:$F,S$68)</f>
        <v>0</v>
      </c>
      <c r="T79" s="83">
        <f>SUMIFS(Data!$N:$N,Data!$H:$H,$M79,Data!$E:$E,T$67,Data!$C:$C,$N$6,Data!$F:$F,T$68)</f>
        <v>0</v>
      </c>
      <c r="U79" s="83">
        <f>SUMIFS(Data!$N:$N,Data!$H:$H,$M79,Data!$E:$E,U$67,Data!$C:$C,$N$6,Data!$F:$F,U$68)</f>
        <v>0</v>
      </c>
      <c r="V79" s="1"/>
      <c r="W79" s="1"/>
      <c r="X79" s="1"/>
      <c r="AJ79" s="1"/>
      <c r="AK79" s="1"/>
    </row>
    <row r="80" spans="1:37" ht="15.75" hidden="1" customHeight="1" thickTop="1" thickBot="1" x14ac:dyDescent="0.25">
      <c r="A80" s="1"/>
      <c r="B80" s="69" t="s">
        <v>32</v>
      </c>
      <c r="C80" s="83">
        <f>SUMIFS(Data!$N:$N,Data!$H:$H,$B80,Data!$E:$E,C$67,Data!$F:$F,C$68)</f>
        <v>0</v>
      </c>
      <c r="D80" s="83">
        <f>SUMIFS(Data!$N:$N,Data!$H:$H,$B80,Data!$E:$E,D$67,Data!$F:$F,D$68)</f>
        <v>0</v>
      </c>
      <c r="E80" s="83">
        <f>SUMIFS(Data!$N:$N,Data!$H:$H,$B80,Data!$E:$E,E$67,Data!$F:$F,E$68)</f>
        <v>0</v>
      </c>
      <c r="F80" s="83">
        <f>SUMIFS(Data!$N:$N,Data!$H:$H,$B80,Data!$E:$E,F$67,Data!$F:$F,F$68)</f>
        <v>0</v>
      </c>
      <c r="G80" s="83">
        <f>SUMIFS(Data!$N:$N,Data!$H:$H,$B80,Data!$E:$E,G$67,Data!$F:$F,G$68)</f>
        <v>0</v>
      </c>
      <c r="H80" s="83">
        <f>SUMIFS(Data!$N:$N,Data!$H:$H,$B80,Data!$E:$E,H$67,Data!$F:$F,H$68)</f>
        <v>0</v>
      </c>
      <c r="I80" s="83">
        <f>SUMIFS(Data!$N:$N,Data!$H:$H,$B80,Data!$E:$E,I$67,Data!$F:$F,I$68)</f>
        <v>0</v>
      </c>
      <c r="J80" s="83">
        <f>SUMIFS(Data!$N:$N,Data!$H:$H,$B80,Data!$E:$E,J$67,Data!$F:$F,J$68)</f>
        <v>0</v>
      </c>
      <c r="L80" s="1"/>
      <c r="M80" s="69" t="s">
        <v>32</v>
      </c>
      <c r="N80" s="83">
        <f>SUMIFS(Data!$N:$N,Data!$H:$H,$M80,Data!$E:$E,N$67,Data!$C:$C,$N$6,Data!$F:$F,N$68)</f>
        <v>0</v>
      </c>
      <c r="O80" s="83">
        <f>SUMIFS(Data!$N:$N,Data!$H:$H,$M80,Data!$E:$E,O$67,Data!$C:$C,$N$6,Data!$F:$F,O$68)</f>
        <v>0</v>
      </c>
      <c r="P80" s="83">
        <f>SUMIFS(Data!$N:$N,Data!$H:$H,$M80,Data!$E:$E,P$67,Data!$C:$C,$N$6,Data!$F:$F,P$68)</f>
        <v>0</v>
      </c>
      <c r="Q80" s="83">
        <f>SUMIFS(Data!$N:$N,Data!$H:$H,$M80,Data!$E:$E,Q$67,Data!$C:$C,$N$6,Data!$F:$F,Q$68)</f>
        <v>0</v>
      </c>
      <c r="R80" s="83">
        <f>SUMIFS(Data!$N:$N,Data!$H:$H,$M80,Data!$E:$E,R$67,Data!$C:$C,$N$6,Data!$F:$F,R$68)</f>
        <v>0</v>
      </c>
      <c r="S80" s="83">
        <f>SUMIFS(Data!$N:$N,Data!$H:$H,$M80,Data!$E:$E,S$67,Data!$C:$C,$N$6,Data!$F:$F,S$68)</f>
        <v>0</v>
      </c>
      <c r="T80" s="83">
        <f>SUMIFS(Data!$N:$N,Data!$H:$H,$M80,Data!$E:$E,T$67,Data!$C:$C,$N$6,Data!$F:$F,T$68)</f>
        <v>0</v>
      </c>
      <c r="U80" s="83">
        <f>SUMIFS(Data!$N:$N,Data!$H:$H,$M80,Data!$E:$E,U$67,Data!$C:$C,$N$6,Data!$F:$F,U$68)</f>
        <v>0</v>
      </c>
      <c r="V80" s="1"/>
      <c r="W80" s="1"/>
      <c r="X80" s="1"/>
      <c r="AJ80" s="1"/>
      <c r="AK80" s="1"/>
    </row>
    <row r="81" spans="1:37" ht="15.75" hidden="1" customHeight="1" thickTop="1" thickBot="1" x14ac:dyDescent="0.25">
      <c r="A81" s="1"/>
      <c r="B81" s="69" t="s">
        <v>89</v>
      </c>
      <c r="C81" s="83">
        <f>SUMIFS(Data!$N:$N,Data!$H:$H,$B81,Data!$E:$E,C$67,Data!$F:$F,C$68)</f>
        <v>0</v>
      </c>
      <c r="D81" s="83">
        <f>SUMIFS(Data!$N:$N,Data!$H:$H,$B81,Data!$E:$E,D$67,Data!$F:$F,D$68)</f>
        <v>0</v>
      </c>
      <c r="E81" s="83">
        <f>SUMIFS(Data!$N:$N,Data!$H:$H,$B81,Data!$E:$E,E$67,Data!$F:$F,E$68)</f>
        <v>0</v>
      </c>
      <c r="F81" s="83">
        <f>SUMIFS(Data!$N:$N,Data!$H:$H,$B81,Data!$E:$E,F$67,Data!$F:$F,F$68)</f>
        <v>0</v>
      </c>
      <c r="G81" s="83">
        <f>SUMIFS(Data!$N:$N,Data!$H:$H,$B81,Data!$E:$E,G$67,Data!$F:$F,G$68)</f>
        <v>0</v>
      </c>
      <c r="H81" s="83">
        <f>SUMIFS(Data!$N:$N,Data!$H:$H,$B81,Data!$E:$E,H$67,Data!$F:$F,H$68)</f>
        <v>0</v>
      </c>
      <c r="I81" s="83">
        <f>SUMIFS(Data!$N:$N,Data!$H:$H,$B81,Data!$E:$E,I$67,Data!$F:$F,I$68)</f>
        <v>0</v>
      </c>
      <c r="J81" s="83">
        <f>SUMIFS(Data!$N:$N,Data!$H:$H,$B81,Data!$E:$E,J$67,Data!$F:$F,J$68)</f>
        <v>0</v>
      </c>
      <c r="L81" s="1"/>
      <c r="M81" s="69" t="s">
        <v>89</v>
      </c>
      <c r="N81" s="83">
        <f>SUMIFS(Data!$N:$N,Data!$H:$H,$M81,Data!$E:$E,N$67,Data!$C:$C,$N$6,Data!$F:$F,N$68)</f>
        <v>0</v>
      </c>
      <c r="O81" s="83">
        <f>SUMIFS(Data!$N:$N,Data!$H:$H,$M81,Data!$E:$E,O$67,Data!$C:$C,$N$6,Data!$F:$F,O$68)</f>
        <v>0</v>
      </c>
      <c r="P81" s="83">
        <f>SUMIFS(Data!$N:$N,Data!$H:$H,$M81,Data!$E:$E,P$67,Data!$C:$C,$N$6,Data!$F:$F,P$68)</f>
        <v>0</v>
      </c>
      <c r="Q81" s="83">
        <f>SUMIFS(Data!$N:$N,Data!$H:$H,$M81,Data!$E:$E,Q$67,Data!$C:$C,$N$6,Data!$F:$F,Q$68)</f>
        <v>0</v>
      </c>
      <c r="R81" s="83">
        <f>SUMIFS(Data!$N:$N,Data!$H:$H,$M81,Data!$E:$E,R$67,Data!$C:$C,$N$6,Data!$F:$F,R$68)</f>
        <v>0</v>
      </c>
      <c r="S81" s="83">
        <f>SUMIFS(Data!$N:$N,Data!$H:$H,$M81,Data!$E:$E,S$67,Data!$C:$C,$N$6,Data!$F:$F,S$68)</f>
        <v>0</v>
      </c>
      <c r="T81" s="83">
        <f>SUMIFS(Data!$N:$N,Data!$H:$H,$M81,Data!$E:$E,T$67,Data!$C:$C,$N$6,Data!$F:$F,T$68)</f>
        <v>0</v>
      </c>
      <c r="U81" s="83">
        <f>SUMIFS(Data!$N:$N,Data!$H:$H,$M81,Data!$E:$E,U$67,Data!$C:$C,$N$6,Data!$F:$F,U$68)</f>
        <v>0</v>
      </c>
      <c r="V81" s="1"/>
      <c r="W81" s="1"/>
      <c r="X81" s="1"/>
      <c r="AJ81" s="1"/>
      <c r="AK81" s="1"/>
    </row>
    <row r="82" spans="1:37" ht="15.75" hidden="1" customHeight="1" thickTop="1" thickBot="1" x14ac:dyDescent="0.25">
      <c r="A82" s="1"/>
      <c r="B82" s="75" t="s">
        <v>68</v>
      </c>
      <c r="C82" s="76">
        <f>SUM(C78:C81)</f>
        <v>0</v>
      </c>
      <c r="D82" s="76">
        <f t="shared" ref="D82" si="60">SUM(D78:D81)</f>
        <v>0</v>
      </c>
      <c r="E82" s="76">
        <f t="shared" ref="E82:J82" si="61">SUM(E78:E81)</f>
        <v>0</v>
      </c>
      <c r="F82" s="76">
        <f t="shared" si="61"/>
        <v>0</v>
      </c>
      <c r="G82" s="76">
        <f t="shared" si="61"/>
        <v>0</v>
      </c>
      <c r="H82" s="76">
        <f t="shared" si="61"/>
        <v>0</v>
      </c>
      <c r="I82" s="76">
        <f t="shared" ref="I82" si="62">SUM(I78:I81)</f>
        <v>0</v>
      </c>
      <c r="J82" s="76">
        <f t="shared" si="61"/>
        <v>0</v>
      </c>
      <c r="L82" s="1"/>
      <c r="M82" s="75" t="s">
        <v>68</v>
      </c>
      <c r="N82" s="76">
        <f>SUM(N78:N81)</f>
        <v>0</v>
      </c>
      <c r="O82" s="76">
        <f t="shared" ref="O82" si="63">SUM(O78:O81)</f>
        <v>0</v>
      </c>
      <c r="P82" s="76">
        <f t="shared" ref="P82:U82" si="64">SUM(P78:P81)</f>
        <v>0</v>
      </c>
      <c r="Q82" s="76">
        <f t="shared" si="64"/>
        <v>0</v>
      </c>
      <c r="R82" s="76">
        <f t="shared" si="64"/>
        <v>0</v>
      </c>
      <c r="S82" s="76">
        <f t="shared" si="64"/>
        <v>0</v>
      </c>
      <c r="T82" s="76">
        <f t="shared" ref="T82" si="65">SUM(T78:T81)</f>
        <v>0</v>
      </c>
      <c r="U82" s="76">
        <f t="shared" si="64"/>
        <v>0</v>
      </c>
      <c r="V82" s="1"/>
      <c r="W82" s="1"/>
      <c r="X82" s="1"/>
      <c r="AJ82" s="1"/>
      <c r="AK82" s="1"/>
    </row>
    <row r="83" spans="1:37" ht="15.75" hidden="1" customHeight="1" thickTop="1" thickBot="1" x14ac:dyDescent="0.25">
      <c r="A83" s="1"/>
      <c r="B83" s="73" t="s">
        <v>37</v>
      </c>
      <c r="C83" s="74"/>
      <c r="D83" s="74"/>
      <c r="E83" s="74"/>
      <c r="F83" s="74"/>
      <c r="G83" s="74"/>
      <c r="H83" s="74"/>
      <c r="I83" s="74"/>
      <c r="J83" s="74"/>
      <c r="L83" s="1"/>
      <c r="M83" s="73" t="s">
        <v>37</v>
      </c>
      <c r="N83" s="74"/>
      <c r="O83" s="74"/>
      <c r="P83" s="74"/>
      <c r="Q83" s="74"/>
      <c r="R83" s="74"/>
      <c r="S83" s="74"/>
      <c r="T83" s="74"/>
      <c r="U83" s="74"/>
      <c r="V83" s="1"/>
      <c r="W83" s="1"/>
      <c r="X83" s="1"/>
      <c r="AJ83" s="1"/>
      <c r="AK83" s="1"/>
    </row>
    <row r="84" spans="1:37" ht="15.75" hidden="1" customHeight="1" thickTop="1" thickBot="1" x14ac:dyDescent="0.25">
      <c r="A84" s="1"/>
      <c r="B84" s="72" t="s">
        <v>38</v>
      </c>
      <c r="C84" s="83">
        <f>SUMIFS(Data!$N:$N,Data!$H:$H,$B84,Data!$E:$E,C$67,Data!$F:$F,C$68)</f>
        <v>0</v>
      </c>
      <c r="D84" s="83">
        <f>SUMIFS(Data!$N:$N,Data!$H:$H,$B84,Data!$E:$E,D$67,Data!$F:$F,D$68)</f>
        <v>0</v>
      </c>
      <c r="E84" s="83">
        <f>SUMIFS(Data!$N:$N,Data!$H:$H,$B84,Data!$E:$E,E$67,Data!$F:$F,E$68)</f>
        <v>0</v>
      </c>
      <c r="F84" s="83">
        <f>SUMIFS(Data!$N:$N,Data!$H:$H,$B84,Data!$E:$E,F$67,Data!$F:$F,F$68)</f>
        <v>0</v>
      </c>
      <c r="G84" s="83">
        <f>SUMIFS(Data!$N:$N,Data!$H:$H,$B84,Data!$E:$E,G$67,Data!$F:$F,G$68)</f>
        <v>0</v>
      </c>
      <c r="H84" s="83">
        <f>SUMIFS(Data!$N:$N,Data!$H:$H,$B84,Data!$E:$E,H$67,Data!$F:$F,H$68)</f>
        <v>0</v>
      </c>
      <c r="I84" s="83">
        <f>SUMIFS(Data!$N:$N,Data!$H:$H,$B84,Data!$E:$E,I$67,Data!$F:$F,I$68)</f>
        <v>0</v>
      </c>
      <c r="J84" s="83">
        <f>SUMIFS(Data!$N:$N,Data!$H:$H,$B84,Data!$E:$E,J$67,Data!$F:$F,J$68)</f>
        <v>0</v>
      </c>
      <c r="L84" s="1"/>
      <c r="M84" s="72" t="s">
        <v>38</v>
      </c>
      <c r="N84" s="83">
        <f>SUMIFS(Data!$N:$N,Data!$H:$H,$M84,Data!$E:$E,N$67,Data!$C:$C,$N$6,Data!$F:$F,N$68)</f>
        <v>0</v>
      </c>
      <c r="O84" s="83">
        <f>SUMIFS(Data!$N:$N,Data!$H:$H,$M84,Data!$E:$E,O$67,Data!$C:$C,$N$6,Data!$F:$F,O$68)</f>
        <v>0</v>
      </c>
      <c r="P84" s="83">
        <f>SUMIFS(Data!$N:$N,Data!$H:$H,$M84,Data!$E:$E,P$67,Data!$C:$C,$N$6,Data!$F:$F,P$68)</f>
        <v>0</v>
      </c>
      <c r="Q84" s="83">
        <f>SUMIFS(Data!$N:$N,Data!$H:$H,$M84,Data!$E:$E,Q$67,Data!$C:$C,$N$6,Data!$F:$F,Q$68)</f>
        <v>0</v>
      </c>
      <c r="R84" s="83">
        <f>SUMIFS(Data!$N:$N,Data!$H:$H,$M84,Data!$E:$E,R$67,Data!$C:$C,$N$6,Data!$F:$F,R$68)</f>
        <v>0</v>
      </c>
      <c r="S84" s="83">
        <f>SUMIFS(Data!$N:$N,Data!$H:$H,$M84,Data!$E:$E,S$67,Data!$C:$C,$N$6,Data!$F:$F,S$68)</f>
        <v>0</v>
      </c>
      <c r="T84" s="83">
        <f>SUMIFS(Data!$N:$N,Data!$H:$H,$M84,Data!$E:$E,T$67,Data!$C:$C,$N$6,Data!$F:$F,T$68)</f>
        <v>0</v>
      </c>
      <c r="U84" s="83">
        <f>SUMIFS(Data!$N:$N,Data!$H:$H,$M84,Data!$E:$E,U$67,Data!$C:$C,$N$6,Data!$F:$F,U$68)</f>
        <v>0</v>
      </c>
      <c r="V84" s="1"/>
      <c r="W84" s="1"/>
      <c r="X84" s="1"/>
      <c r="AJ84" s="1"/>
      <c r="AK84" s="1"/>
    </row>
    <row r="85" spans="1:37" ht="15.75" hidden="1" customHeight="1" thickTop="1" thickBot="1" x14ac:dyDescent="0.25">
      <c r="A85" s="1"/>
      <c r="B85" s="72" t="s">
        <v>40</v>
      </c>
      <c r="C85" s="83">
        <f>SUMIFS(Data!$N:$N,Data!$H:$H,$B85,Data!$E:$E,C$67,Data!$F:$F,C$68)</f>
        <v>0</v>
      </c>
      <c r="D85" s="83">
        <f>SUMIFS(Data!$N:$N,Data!$H:$H,$B85,Data!$E:$E,D$67,Data!$F:$F,D$68)</f>
        <v>0</v>
      </c>
      <c r="E85" s="83">
        <f>SUMIFS(Data!$N:$N,Data!$H:$H,$B85,Data!$E:$E,E$67,Data!$F:$F,E$68)</f>
        <v>0</v>
      </c>
      <c r="F85" s="83">
        <f>SUMIFS(Data!$N:$N,Data!$H:$H,$B85,Data!$E:$E,F$67,Data!$F:$F,F$68)</f>
        <v>0</v>
      </c>
      <c r="G85" s="83">
        <f>SUMIFS(Data!$N:$N,Data!$H:$H,$B85,Data!$E:$E,G$67,Data!$F:$F,G$68)</f>
        <v>0</v>
      </c>
      <c r="H85" s="83">
        <f>SUMIFS(Data!$N:$N,Data!$H:$H,$B85,Data!$E:$E,H$67,Data!$F:$F,H$68)</f>
        <v>0</v>
      </c>
      <c r="I85" s="83">
        <f>SUMIFS(Data!$N:$N,Data!$H:$H,$B85,Data!$E:$E,I$67,Data!$F:$F,I$68)</f>
        <v>0</v>
      </c>
      <c r="J85" s="83">
        <f>SUMIFS(Data!$N:$N,Data!$H:$H,$B85,Data!$E:$E,J$67,Data!$F:$F,J$68)</f>
        <v>0</v>
      </c>
      <c r="L85" s="1"/>
      <c r="M85" s="72" t="s">
        <v>40</v>
      </c>
      <c r="N85" s="83">
        <f>SUMIFS(Data!$N:$N,Data!$H:$H,$M85,Data!$E:$E,N$67,Data!$C:$C,$N$6,Data!$F:$F,N$68)</f>
        <v>0</v>
      </c>
      <c r="O85" s="83">
        <f>SUMIFS(Data!$N:$N,Data!$H:$H,$M85,Data!$E:$E,O$67,Data!$C:$C,$N$6,Data!$F:$F,O$68)</f>
        <v>0</v>
      </c>
      <c r="P85" s="83">
        <f>SUMIFS(Data!$N:$N,Data!$H:$H,$M85,Data!$E:$E,P$67,Data!$C:$C,$N$6,Data!$F:$F,P$68)</f>
        <v>0</v>
      </c>
      <c r="Q85" s="83">
        <f>SUMIFS(Data!$N:$N,Data!$H:$H,$M85,Data!$E:$E,Q$67,Data!$C:$C,$N$6,Data!$F:$F,Q$68)</f>
        <v>0</v>
      </c>
      <c r="R85" s="83">
        <f>SUMIFS(Data!$N:$N,Data!$H:$H,$M85,Data!$E:$E,R$67,Data!$C:$C,$N$6,Data!$F:$F,R$68)</f>
        <v>0</v>
      </c>
      <c r="S85" s="83">
        <f>SUMIFS(Data!$N:$N,Data!$H:$H,$M85,Data!$E:$E,S$67,Data!$C:$C,$N$6,Data!$F:$F,S$68)</f>
        <v>0</v>
      </c>
      <c r="T85" s="83">
        <f>SUMIFS(Data!$N:$N,Data!$H:$H,$M85,Data!$E:$E,T$67,Data!$C:$C,$N$6,Data!$F:$F,T$68)</f>
        <v>0</v>
      </c>
      <c r="U85" s="83">
        <f>SUMIFS(Data!$N:$N,Data!$H:$H,$M85,Data!$E:$E,U$67,Data!$C:$C,$N$6,Data!$F:$F,U$68)</f>
        <v>0</v>
      </c>
      <c r="V85" s="1"/>
      <c r="W85" s="1"/>
      <c r="X85" s="1"/>
      <c r="AJ85" s="1"/>
      <c r="AK85" s="1"/>
    </row>
    <row r="86" spans="1:37" ht="15.75" hidden="1" customHeight="1" thickTop="1" thickBot="1" x14ac:dyDescent="0.25">
      <c r="A86" s="1"/>
      <c r="B86" s="72" t="s">
        <v>42</v>
      </c>
      <c r="C86" s="83">
        <f>SUMIFS(Data!$N:$N,Data!$H:$H,$B86,Data!$E:$E,C$67,Data!$F:$F,C$68)</f>
        <v>0</v>
      </c>
      <c r="D86" s="83">
        <f>SUMIFS(Data!$N:$N,Data!$H:$H,$B86,Data!$E:$E,D$67,Data!$F:$F,D$68)</f>
        <v>0</v>
      </c>
      <c r="E86" s="83">
        <f>SUMIFS(Data!$N:$N,Data!$H:$H,$B86,Data!$E:$E,E$67,Data!$F:$F,E$68)</f>
        <v>0</v>
      </c>
      <c r="F86" s="83">
        <f>SUMIFS(Data!$N:$N,Data!$H:$H,$B86,Data!$E:$E,F$67,Data!$F:$F,F$68)</f>
        <v>0</v>
      </c>
      <c r="G86" s="83">
        <f>SUMIFS(Data!$N:$N,Data!$H:$H,$B86,Data!$E:$E,G$67,Data!$F:$F,G$68)</f>
        <v>0</v>
      </c>
      <c r="H86" s="83">
        <f>SUMIFS(Data!$N:$N,Data!$H:$H,$B86,Data!$E:$E,H$67,Data!$F:$F,H$68)</f>
        <v>0</v>
      </c>
      <c r="I86" s="83">
        <f>SUMIFS(Data!$N:$N,Data!$H:$H,$B86,Data!$E:$E,I$67,Data!$F:$F,I$68)</f>
        <v>0</v>
      </c>
      <c r="J86" s="83">
        <f>SUMIFS(Data!$N:$N,Data!$H:$H,$B86,Data!$E:$E,J$67,Data!$F:$F,J$68)</f>
        <v>0</v>
      </c>
      <c r="L86" s="1"/>
      <c r="M86" s="72" t="s">
        <v>42</v>
      </c>
      <c r="N86" s="83">
        <f>SUMIFS(Data!$N:$N,Data!$H:$H,$M86,Data!$E:$E,N$67,Data!$C:$C,$N$6,Data!$F:$F,N$68)</f>
        <v>0</v>
      </c>
      <c r="O86" s="83">
        <f>SUMIFS(Data!$N:$N,Data!$H:$H,$M86,Data!$E:$E,O$67,Data!$C:$C,$N$6,Data!$F:$F,O$68)</f>
        <v>0</v>
      </c>
      <c r="P86" s="83">
        <f>SUMIFS(Data!$N:$N,Data!$H:$H,$M86,Data!$E:$E,P$67,Data!$C:$C,$N$6,Data!$F:$F,P$68)</f>
        <v>0</v>
      </c>
      <c r="Q86" s="83">
        <f>SUMIFS(Data!$N:$N,Data!$H:$H,$M86,Data!$E:$E,Q$67,Data!$C:$C,$N$6,Data!$F:$F,Q$68)</f>
        <v>0</v>
      </c>
      <c r="R86" s="83">
        <f>SUMIFS(Data!$N:$N,Data!$H:$H,$M86,Data!$E:$E,R$67,Data!$C:$C,$N$6,Data!$F:$F,R$68)</f>
        <v>0</v>
      </c>
      <c r="S86" s="83">
        <f>SUMIFS(Data!$N:$N,Data!$H:$H,$M86,Data!$E:$E,S$67,Data!$C:$C,$N$6,Data!$F:$F,S$68)</f>
        <v>0</v>
      </c>
      <c r="T86" s="83">
        <f>SUMIFS(Data!$N:$N,Data!$H:$H,$M86,Data!$E:$E,T$67,Data!$C:$C,$N$6,Data!$F:$F,T$68)</f>
        <v>0</v>
      </c>
      <c r="U86" s="83">
        <f>SUMIFS(Data!$N:$N,Data!$H:$H,$M86,Data!$E:$E,U$67,Data!$C:$C,$N$6,Data!$F:$F,U$68)</f>
        <v>0</v>
      </c>
      <c r="V86" s="1"/>
      <c r="W86" s="1"/>
      <c r="X86" s="1"/>
      <c r="AJ86" s="1"/>
      <c r="AK86" s="1"/>
    </row>
    <row r="87" spans="1:37" ht="15.75" hidden="1" customHeight="1" thickTop="1" thickBot="1" x14ac:dyDescent="0.25">
      <c r="A87" s="1"/>
      <c r="B87" s="72" t="s">
        <v>43</v>
      </c>
      <c r="C87" s="83">
        <f>SUMIFS(Data!$N:$N,Data!$H:$H,$B87,Data!$E:$E,C$67,Data!$F:$F,C$68)</f>
        <v>0</v>
      </c>
      <c r="D87" s="83">
        <f>SUMIFS(Data!$N:$N,Data!$H:$H,$B87,Data!$E:$E,D$67,Data!$F:$F,D$68)</f>
        <v>0</v>
      </c>
      <c r="E87" s="83">
        <f>SUMIFS(Data!$N:$N,Data!$H:$H,$B87,Data!$E:$E,E$67,Data!$F:$F,E$68)</f>
        <v>0</v>
      </c>
      <c r="F87" s="83">
        <f>SUMIFS(Data!$N:$N,Data!$H:$H,$B87,Data!$E:$E,F$67,Data!$F:$F,F$68)</f>
        <v>0</v>
      </c>
      <c r="G87" s="83">
        <f>SUMIFS(Data!$N:$N,Data!$H:$H,$B87,Data!$E:$E,G$67,Data!$F:$F,G$68)</f>
        <v>0</v>
      </c>
      <c r="H87" s="83">
        <f>SUMIFS(Data!$N:$N,Data!$H:$H,$B87,Data!$E:$E,H$67,Data!$F:$F,H$68)</f>
        <v>0</v>
      </c>
      <c r="I87" s="83">
        <f>SUMIFS(Data!$N:$N,Data!$H:$H,$B87,Data!$E:$E,I$67,Data!$F:$F,I$68)</f>
        <v>0</v>
      </c>
      <c r="J87" s="83">
        <f>SUMIFS(Data!$N:$N,Data!$H:$H,$B87,Data!$E:$E,J$67,Data!$F:$F,J$68)</f>
        <v>0</v>
      </c>
      <c r="L87" s="1"/>
      <c r="M87" s="72" t="s">
        <v>43</v>
      </c>
      <c r="N87" s="83">
        <f>SUMIFS(Data!$N:$N,Data!$H:$H,$M87,Data!$E:$E,N$67,Data!$C:$C,$N$6,Data!$F:$F,N$68)</f>
        <v>0</v>
      </c>
      <c r="O87" s="83">
        <f>SUMIFS(Data!$N:$N,Data!$H:$H,$M87,Data!$E:$E,O$67,Data!$C:$C,$N$6,Data!$F:$F,O$68)</f>
        <v>0</v>
      </c>
      <c r="P87" s="83">
        <f>SUMIFS(Data!$N:$N,Data!$H:$H,$M87,Data!$E:$E,P$67,Data!$C:$C,$N$6,Data!$F:$F,P$68)</f>
        <v>0</v>
      </c>
      <c r="Q87" s="83">
        <f>SUMIFS(Data!$N:$N,Data!$H:$H,$M87,Data!$E:$E,Q$67,Data!$C:$C,$N$6,Data!$F:$F,Q$68)</f>
        <v>0</v>
      </c>
      <c r="R87" s="83">
        <f>SUMIFS(Data!$N:$N,Data!$H:$H,$M87,Data!$E:$E,R$67,Data!$C:$C,$N$6,Data!$F:$F,R$68)</f>
        <v>0</v>
      </c>
      <c r="S87" s="83">
        <f>SUMIFS(Data!$N:$N,Data!$H:$H,$M87,Data!$E:$E,S$67,Data!$C:$C,$N$6,Data!$F:$F,S$68)</f>
        <v>0</v>
      </c>
      <c r="T87" s="83">
        <f>SUMIFS(Data!$N:$N,Data!$H:$H,$M87,Data!$E:$E,T$67,Data!$C:$C,$N$6,Data!$F:$F,T$68)</f>
        <v>0</v>
      </c>
      <c r="U87" s="83">
        <f>SUMIFS(Data!$N:$N,Data!$H:$H,$M87,Data!$E:$E,U$67,Data!$C:$C,$N$6,Data!$F:$F,U$68)</f>
        <v>0</v>
      </c>
      <c r="V87" s="1"/>
      <c r="W87" s="1"/>
      <c r="X87" s="1"/>
      <c r="AJ87" s="1"/>
      <c r="AK87" s="1"/>
    </row>
    <row r="88" spans="1:37" ht="15.75" hidden="1" customHeight="1" thickTop="1" thickBot="1" x14ac:dyDescent="0.25">
      <c r="A88" s="1"/>
      <c r="B88" s="72" t="s">
        <v>44</v>
      </c>
      <c r="C88" s="83">
        <f>SUMIFS(Data!$N:$N,Data!$H:$H,$B88,Data!$E:$E,C$67,Data!$F:$F,C$68)</f>
        <v>0</v>
      </c>
      <c r="D88" s="83">
        <f>SUMIFS(Data!$N:$N,Data!$H:$H,$B88,Data!$E:$E,D$67,Data!$F:$F,D$68)</f>
        <v>0</v>
      </c>
      <c r="E88" s="83">
        <f>SUMIFS(Data!$N:$N,Data!$H:$H,$B88,Data!$E:$E,E$67,Data!$F:$F,E$68)</f>
        <v>0</v>
      </c>
      <c r="F88" s="83">
        <f>SUMIFS(Data!$N:$N,Data!$H:$H,$B88,Data!$E:$E,F$67,Data!$F:$F,F$68)</f>
        <v>0</v>
      </c>
      <c r="G88" s="83">
        <f>SUMIFS(Data!$N:$N,Data!$H:$H,$B88,Data!$E:$E,G$67,Data!$F:$F,G$68)</f>
        <v>0</v>
      </c>
      <c r="H88" s="83">
        <f>SUMIFS(Data!$N:$N,Data!$H:$H,$B88,Data!$E:$E,H$67,Data!$F:$F,H$68)</f>
        <v>0</v>
      </c>
      <c r="I88" s="83">
        <f>SUMIFS(Data!$N:$N,Data!$H:$H,$B88,Data!$E:$E,I$67,Data!$F:$F,I$68)</f>
        <v>0</v>
      </c>
      <c r="J88" s="83">
        <f>SUMIFS(Data!$N:$N,Data!$H:$H,$B88,Data!$E:$E,J$67,Data!$F:$F,J$68)</f>
        <v>0</v>
      </c>
      <c r="L88" s="1"/>
      <c r="M88" s="72" t="s">
        <v>44</v>
      </c>
      <c r="N88" s="83">
        <f>SUMIFS(Data!$N:$N,Data!$H:$H,$M88,Data!$E:$E,N$67,Data!$C:$C,$N$6,Data!$F:$F,N$68)</f>
        <v>0</v>
      </c>
      <c r="O88" s="83">
        <f>SUMIFS(Data!$N:$N,Data!$H:$H,$M88,Data!$E:$E,O$67,Data!$C:$C,$N$6,Data!$F:$F,O$68)</f>
        <v>0</v>
      </c>
      <c r="P88" s="83">
        <f>SUMIFS(Data!$N:$N,Data!$H:$H,$M88,Data!$E:$E,P$67,Data!$C:$C,$N$6,Data!$F:$F,P$68)</f>
        <v>0</v>
      </c>
      <c r="Q88" s="83">
        <f>SUMIFS(Data!$N:$N,Data!$H:$H,$M88,Data!$E:$E,Q$67,Data!$C:$C,$N$6,Data!$F:$F,Q$68)</f>
        <v>0</v>
      </c>
      <c r="R88" s="83">
        <f>SUMIFS(Data!$N:$N,Data!$H:$H,$M88,Data!$E:$E,R$67,Data!$C:$C,$N$6,Data!$F:$F,R$68)</f>
        <v>0</v>
      </c>
      <c r="S88" s="83">
        <f>SUMIFS(Data!$N:$N,Data!$H:$H,$M88,Data!$E:$E,S$67,Data!$C:$C,$N$6,Data!$F:$F,S$68)</f>
        <v>0</v>
      </c>
      <c r="T88" s="83">
        <f>SUMIFS(Data!$N:$N,Data!$H:$H,$M88,Data!$E:$E,T$67,Data!$C:$C,$N$6,Data!$F:$F,T$68)</f>
        <v>0</v>
      </c>
      <c r="U88" s="83">
        <f>SUMIFS(Data!$N:$N,Data!$H:$H,$M88,Data!$E:$E,U$67,Data!$C:$C,$N$6,Data!$F:$F,U$68)</f>
        <v>0</v>
      </c>
      <c r="V88" s="1"/>
      <c r="W88" s="1"/>
      <c r="X88" s="1"/>
      <c r="AJ88" s="1"/>
      <c r="AK88" s="1"/>
    </row>
    <row r="89" spans="1:37" ht="15.75" hidden="1" customHeight="1" thickTop="1" thickBot="1" x14ac:dyDescent="0.25">
      <c r="A89" s="1"/>
      <c r="B89" s="75" t="s">
        <v>69</v>
      </c>
      <c r="C89" s="76">
        <f>SUM(C84:C88)</f>
        <v>0</v>
      </c>
      <c r="D89" s="76">
        <f t="shared" ref="D89:J89" si="66">SUM(D84:D88)</f>
        <v>0</v>
      </c>
      <c r="E89" s="76">
        <f t="shared" si="66"/>
        <v>0</v>
      </c>
      <c r="F89" s="76">
        <f t="shared" si="66"/>
        <v>0</v>
      </c>
      <c r="G89" s="76">
        <f t="shared" si="66"/>
        <v>0</v>
      </c>
      <c r="H89" s="76">
        <f t="shared" si="66"/>
        <v>0</v>
      </c>
      <c r="I89" s="76">
        <f t="shared" ref="I89" si="67">SUM(I84:I88)</f>
        <v>0</v>
      </c>
      <c r="J89" s="76">
        <f t="shared" si="66"/>
        <v>0</v>
      </c>
      <c r="L89" s="1"/>
      <c r="M89" s="75" t="s">
        <v>69</v>
      </c>
      <c r="N89" s="76">
        <f>SUM(N84:N88)</f>
        <v>0</v>
      </c>
      <c r="O89" s="76">
        <f t="shared" ref="O89:U89" si="68">SUM(O84:O88)</f>
        <v>0</v>
      </c>
      <c r="P89" s="76">
        <f t="shared" si="68"/>
        <v>0</v>
      </c>
      <c r="Q89" s="76">
        <f t="shared" si="68"/>
        <v>0</v>
      </c>
      <c r="R89" s="76">
        <f t="shared" si="68"/>
        <v>0</v>
      </c>
      <c r="S89" s="76">
        <f t="shared" si="68"/>
        <v>0</v>
      </c>
      <c r="T89" s="76">
        <f t="shared" ref="T89" si="69">SUM(T84:T88)</f>
        <v>0</v>
      </c>
      <c r="U89" s="76">
        <f t="shared" si="68"/>
        <v>0</v>
      </c>
      <c r="V89" s="1"/>
      <c r="W89" s="1"/>
      <c r="X89" s="1"/>
      <c r="AJ89" s="1"/>
      <c r="AK89" s="1"/>
    </row>
    <row r="90" spans="1:37" ht="15.75" hidden="1" customHeight="1" thickTop="1" thickBot="1" x14ac:dyDescent="0.25">
      <c r="A90" s="1"/>
      <c r="B90" s="73" t="s">
        <v>70</v>
      </c>
      <c r="C90" s="74">
        <f>C76+C82+C89</f>
        <v>0</v>
      </c>
      <c r="D90" s="74">
        <f t="shared" ref="D90" si="70">D76+D82+D89</f>
        <v>0</v>
      </c>
      <c r="E90" s="74">
        <f t="shared" ref="E90:J90" si="71">E76+E82+E89</f>
        <v>0</v>
      </c>
      <c r="F90" s="74">
        <f t="shared" si="71"/>
        <v>0</v>
      </c>
      <c r="G90" s="74">
        <f t="shared" si="71"/>
        <v>0</v>
      </c>
      <c r="H90" s="74">
        <f t="shared" si="71"/>
        <v>0</v>
      </c>
      <c r="I90" s="74">
        <f t="shared" ref="I90" si="72">I76+I82+I89</f>
        <v>0</v>
      </c>
      <c r="J90" s="74">
        <f t="shared" si="71"/>
        <v>0</v>
      </c>
      <c r="L90" s="1"/>
      <c r="M90" s="73" t="s">
        <v>70</v>
      </c>
      <c r="N90" s="74">
        <f>N76+N82+N89</f>
        <v>0</v>
      </c>
      <c r="O90" s="74">
        <f t="shared" ref="O90" si="73">O76+O82+O89</f>
        <v>0</v>
      </c>
      <c r="P90" s="74">
        <f t="shared" ref="P90:U90" si="74">P76+P82+P89</f>
        <v>0</v>
      </c>
      <c r="Q90" s="74">
        <f t="shared" si="74"/>
        <v>0</v>
      </c>
      <c r="R90" s="74">
        <f t="shared" si="74"/>
        <v>0</v>
      </c>
      <c r="S90" s="74">
        <f t="shared" si="74"/>
        <v>0</v>
      </c>
      <c r="T90" s="74">
        <f t="shared" ref="T90" si="75">T76+T82+T89</f>
        <v>0</v>
      </c>
      <c r="U90" s="74">
        <f t="shared" si="74"/>
        <v>0</v>
      </c>
      <c r="V90" s="1"/>
      <c r="W90" s="1"/>
      <c r="X90" s="1"/>
      <c r="AJ90" s="1"/>
      <c r="AK90" s="1"/>
    </row>
    <row r="91" spans="1:37" ht="15.75" hidden="1" customHeight="1" thickTop="1" x14ac:dyDescent="0.2">
      <c r="A91" s="1"/>
      <c r="K91" s="1"/>
      <c r="L91" s="1"/>
      <c r="M91" s="11"/>
      <c r="N91" s="25"/>
      <c r="O91" s="24"/>
      <c r="P91" s="24"/>
      <c r="Q91" s="24"/>
      <c r="R91" s="24"/>
      <c r="S91" s="24"/>
      <c r="T91" s="24"/>
      <c r="U91" s="24"/>
      <c r="V91" s="1"/>
      <c r="W91" s="1"/>
      <c r="X91" s="1"/>
      <c r="AJ91" s="1"/>
      <c r="AK91" s="1"/>
    </row>
    <row r="92" spans="1:37" ht="15.75" hidden="1" customHeight="1" thickBot="1" x14ac:dyDescent="0.25">
      <c r="A92" s="1"/>
      <c r="K92" s="1"/>
      <c r="L92" s="1"/>
      <c r="M92" s="17"/>
      <c r="N92" s="1"/>
      <c r="O92" s="18"/>
      <c r="P92" s="18"/>
      <c r="Q92" s="18"/>
      <c r="R92" s="18"/>
      <c r="S92" s="18"/>
      <c r="T92" s="18"/>
      <c r="U92" s="18"/>
      <c r="V92" s="1"/>
      <c r="W92" s="1"/>
      <c r="X92" s="1"/>
      <c r="AJ92" s="1"/>
      <c r="AK92" s="1"/>
    </row>
    <row r="93" spans="1:37" ht="30" hidden="1" customHeight="1" thickTop="1" thickBot="1" x14ac:dyDescent="0.25">
      <c r="A93" s="1"/>
      <c r="B93" s="355" t="s">
        <v>90</v>
      </c>
      <c r="C93" s="356"/>
      <c r="D93" s="356"/>
      <c r="E93" s="356"/>
      <c r="F93" s="356"/>
      <c r="G93" s="356"/>
      <c r="H93" s="356"/>
      <c r="I93" s="356"/>
      <c r="J93" s="356"/>
      <c r="K93" s="1"/>
      <c r="L93" s="1"/>
      <c r="M93" s="357" t="s">
        <v>91</v>
      </c>
      <c r="N93" s="358"/>
      <c r="O93" s="358"/>
      <c r="P93" s="358"/>
      <c r="Q93" s="358"/>
      <c r="R93" s="358"/>
      <c r="S93" s="358"/>
      <c r="T93" s="358"/>
      <c r="U93" s="358"/>
      <c r="V93" s="1"/>
      <c r="W93" s="1"/>
      <c r="X93" s="1"/>
      <c r="AJ93" s="1"/>
      <c r="AK93" s="1"/>
    </row>
    <row r="94" spans="1:37" ht="15.75" hidden="1" customHeight="1" thickTop="1" thickBot="1" x14ac:dyDescent="0.25">
      <c r="A94" s="1"/>
      <c r="B94" s="88"/>
      <c r="C94" s="80">
        <f>'Input keuzevariabelen'!$D$11</f>
        <v>2019</v>
      </c>
      <c r="D94" s="89">
        <f>C94+1</f>
        <v>2020</v>
      </c>
      <c r="E94" s="89">
        <f t="shared" ref="E94:H94" si="76">D94+1</f>
        <v>2021</v>
      </c>
      <c r="F94" s="89">
        <f t="shared" si="76"/>
        <v>2022</v>
      </c>
      <c r="G94" s="89">
        <f t="shared" si="76"/>
        <v>2023</v>
      </c>
      <c r="H94" s="89">
        <f t="shared" si="76"/>
        <v>2024</v>
      </c>
      <c r="I94" s="89">
        <f t="shared" ref="I94" si="77">H94+1</f>
        <v>2025</v>
      </c>
      <c r="J94" s="89">
        <f t="shared" ref="J94" si="78">I94+1</f>
        <v>2026</v>
      </c>
      <c r="K94" s="1"/>
      <c r="L94" s="1"/>
      <c r="M94" s="88"/>
      <c r="N94" s="80">
        <f>'Input keuzevariabelen'!$D$11</f>
        <v>2019</v>
      </c>
      <c r="O94" s="89">
        <f>+N94+1</f>
        <v>2020</v>
      </c>
      <c r="P94" s="89">
        <f t="shared" ref="P94:S94" si="79">+O94+1</f>
        <v>2021</v>
      </c>
      <c r="Q94" s="89">
        <f t="shared" si="79"/>
        <v>2022</v>
      </c>
      <c r="R94" s="89">
        <f t="shared" si="79"/>
        <v>2023</v>
      </c>
      <c r="S94" s="89">
        <f t="shared" si="79"/>
        <v>2024</v>
      </c>
      <c r="T94" s="89">
        <f t="shared" ref="T94" si="80">+S94+1</f>
        <v>2025</v>
      </c>
      <c r="U94" s="89">
        <f t="shared" ref="U94" si="81">+T94+1</f>
        <v>2026</v>
      </c>
      <c r="V94" s="1"/>
      <c r="W94" s="1"/>
      <c r="X94" s="1"/>
      <c r="AJ94" s="1"/>
      <c r="AK94" s="1"/>
    </row>
    <row r="95" spans="1:37" ht="15.75" hidden="1" customHeight="1" thickTop="1" thickBot="1" x14ac:dyDescent="0.25">
      <c r="A95" s="1"/>
      <c r="B95" s="90"/>
      <c r="C95" s="91" t="s">
        <v>82</v>
      </c>
      <c r="D95" s="91" t="s">
        <v>82</v>
      </c>
      <c r="E95" s="91" t="s">
        <v>82</v>
      </c>
      <c r="F95" s="91" t="s">
        <v>82</v>
      </c>
      <c r="G95" s="91" t="s">
        <v>82</v>
      </c>
      <c r="H95" s="91" t="s">
        <v>82</v>
      </c>
      <c r="I95" s="91" t="s">
        <v>82</v>
      </c>
      <c r="J95" s="91" t="s">
        <v>82</v>
      </c>
      <c r="K95" s="1"/>
      <c r="L95" s="1"/>
      <c r="M95" s="90"/>
      <c r="N95" s="91" t="s">
        <v>82</v>
      </c>
      <c r="O95" s="91" t="s">
        <v>82</v>
      </c>
      <c r="P95" s="91" t="s">
        <v>82</v>
      </c>
      <c r="Q95" s="91" t="s">
        <v>82</v>
      </c>
      <c r="R95" s="91" t="s">
        <v>82</v>
      </c>
      <c r="S95" s="91" t="s">
        <v>82</v>
      </c>
      <c r="T95" s="91" t="s">
        <v>82</v>
      </c>
      <c r="U95" s="91" t="s">
        <v>82</v>
      </c>
      <c r="V95" s="1"/>
      <c r="W95" s="1"/>
      <c r="X95" s="1"/>
      <c r="AJ95" s="1"/>
      <c r="AK95" s="1"/>
    </row>
    <row r="96" spans="1:37" ht="15.75" hidden="1" customHeight="1" thickTop="1" thickBot="1" x14ac:dyDescent="0.25">
      <c r="A96" s="1"/>
      <c r="B96" s="95" t="s">
        <v>73</v>
      </c>
      <c r="C96" s="96" t="e">
        <f>C90/$C$90</f>
        <v>#DIV/0!</v>
      </c>
      <c r="D96" s="96" t="e">
        <f t="shared" ref="D96:J96" si="82">D90/$C$90</f>
        <v>#DIV/0!</v>
      </c>
      <c r="E96" s="96" t="e">
        <f t="shared" ref="E96:I96" si="83">E90/$C$90</f>
        <v>#DIV/0!</v>
      </c>
      <c r="F96" s="96" t="e">
        <f t="shared" si="83"/>
        <v>#DIV/0!</v>
      </c>
      <c r="G96" s="96" t="e">
        <f t="shared" si="83"/>
        <v>#DIV/0!</v>
      </c>
      <c r="H96" s="96" t="e">
        <f t="shared" si="83"/>
        <v>#DIV/0!</v>
      </c>
      <c r="I96" s="96" t="e">
        <f t="shared" si="83"/>
        <v>#DIV/0!</v>
      </c>
      <c r="J96" s="96" t="e">
        <f t="shared" si="82"/>
        <v>#DIV/0!</v>
      </c>
      <c r="K96" s="1"/>
      <c r="L96" s="1"/>
      <c r="M96" s="95" t="s">
        <v>73</v>
      </c>
      <c r="N96" s="96" t="e">
        <f>N90/$N$90</f>
        <v>#DIV/0!</v>
      </c>
      <c r="O96" s="96" t="e">
        <f>O90/$N$90</f>
        <v>#DIV/0!</v>
      </c>
      <c r="P96" s="96" t="e">
        <f t="shared" ref="P96:S96" si="84">P90/$N$90</f>
        <v>#DIV/0!</v>
      </c>
      <c r="Q96" s="96" t="e">
        <f t="shared" si="84"/>
        <v>#DIV/0!</v>
      </c>
      <c r="R96" s="96" t="e">
        <f t="shared" si="84"/>
        <v>#DIV/0!</v>
      </c>
      <c r="S96" s="96" t="e">
        <f t="shared" si="84"/>
        <v>#DIV/0!</v>
      </c>
      <c r="T96" s="96" t="e">
        <f t="shared" ref="T96:U96" si="85">T90/$N$90</f>
        <v>#DIV/0!</v>
      </c>
      <c r="U96" s="96" t="e">
        <f t="shared" si="85"/>
        <v>#DIV/0!</v>
      </c>
      <c r="V96" s="1"/>
      <c r="W96" s="1"/>
      <c r="X96" s="1"/>
      <c r="AJ96" s="1"/>
      <c r="AK96" s="1"/>
    </row>
    <row r="97" spans="1:37" ht="15.75" hidden="1" customHeight="1" x14ac:dyDescent="0.2">
      <c r="A97" s="1"/>
      <c r="B97" s="152" t="s">
        <v>74</v>
      </c>
      <c r="C97" s="149"/>
      <c r="D97" s="149"/>
      <c r="E97" s="149"/>
      <c r="F97" s="149"/>
      <c r="G97" s="149"/>
      <c r="H97" s="149"/>
      <c r="I97" s="149"/>
      <c r="J97" s="149"/>
      <c r="K97" s="1"/>
      <c r="L97" s="1"/>
      <c r="M97" s="152" t="s">
        <v>74</v>
      </c>
      <c r="N97" s="149"/>
      <c r="O97" s="149"/>
      <c r="P97" s="149"/>
      <c r="Q97" s="149"/>
      <c r="R97" s="149"/>
      <c r="S97" s="149"/>
      <c r="T97" s="149"/>
      <c r="U97" s="149"/>
      <c r="V97" s="1"/>
      <c r="W97" s="1"/>
      <c r="X97" s="1"/>
      <c r="AJ97" s="1"/>
      <c r="AK97" s="1"/>
    </row>
    <row r="98" spans="1:37" ht="15.75" hidden="1" customHeight="1" thickBot="1" x14ac:dyDescent="0.25">
      <c r="A98" s="1"/>
      <c r="B98" s="131" t="str">
        <f>'Input keuzevariabelen'!$F$11</f>
        <v>Hoeveelheid verpompt afvalwater</v>
      </c>
      <c r="C98" s="145">
        <f>SUMIFS(Data!$I:$I,Data!$H:$H,$B98,Data!$E:$E,C$94,Data!$F:$F,C$95)</f>
        <v>0</v>
      </c>
      <c r="D98" s="145">
        <f>SUMIFS(Data!$I:$I,Data!$H:$H,$B98,Data!$E:$E,D$94,Data!$F:$F,D$95)</f>
        <v>0</v>
      </c>
      <c r="E98" s="145">
        <f>SUMIFS(Data!$I:$I,Data!$H:$H,$B98,Data!$E:$E,E$94,Data!$F:$F,E$95)</f>
        <v>0</v>
      </c>
      <c r="F98" s="145">
        <f>SUMIFS(Data!$I:$I,Data!$H:$H,$B98,Data!$E:$E,F$94,Data!$F:$F,F$95)</f>
        <v>0</v>
      </c>
      <c r="G98" s="145">
        <f>SUMIFS(Data!$I:$I,Data!$H:$H,$B98,Data!$E:$E,G$94,Data!$F:$F,G$95)</f>
        <v>0</v>
      </c>
      <c r="H98" s="145">
        <f>SUMIFS(Data!$I:$I,Data!$H:$H,$B98,Data!$E:$E,H$94,Data!$F:$F,H$95)</f>
        <v>0</v>
      </c>
      <c r="I98" s="145">
        <f>SUMIFS(Data!$I:$I,Data!$H:$H,$B98,Data!$E:$E,I$94,Data!$F:$F,I$95)</f>
        <v>0</v>
      </c>
      <c r="J98" s="145">
        <f>SUMIFS(Data!$I:$I,Data!$H:$H,$B98,Data!$E:$E,J$94,Data!$F:$F,J$95)</f>
        <v>0</v>
      </c>
      <c r="K98" s="1"/>
      <c r="L98" s="1"/>
      <c r="M98" s="131" t="str">
        <f>'Input keuzevariabelen'!$F$11</f>
        <v>Hoeveelheid verpompt afvalwater</v>
      </c>
      <c r="N98" s="145">
        <f>SUMIFS(Data!$J:$J,Data!$H:$H,$M98,Data!$E:$E,N$94,Data!$C:$C,$N$6,Data!$F:$F,N$95)</f>
        <v>0</v>
      </c>
      <c r="O98" s="145">
        <f>SUMIFS(Data!$J:$J,Data!$H:$H,$M98,Data!$E:$E,O$94,Data!$C:$C,$N$6,Data!$F:$F,O$95)</f>
        <v>0</v>
      </c>
      <c r="P98" s="145">
        <f>SUMIFS(Data!$J:$J,Data!$H:$H,$M98,Data!$E:$E,P$94,Data!$C:$C,$N$6,Data!$F:$F,P$95)</f>
        <v>0</v>
      </c>
      <c r="Q98" s="145">
        <f>SUMIFS(Data!$J:$J,Data!$H:$H,$M98,Data!$E:$E,Q$94,Data!$C:$C,$N$6,Data!$F:$F,Q$95)</f>
        <v>0</v>
      </c>
      <c r="R98" s="145">
        <f>SUMIFS(Data!$J:$J,Data!$H:$H,$M98,Data!$E:$E,R$94,Data!$C:$C,$N$6,Data!$F:$F,R$95)</f>
        <v>0</v>
      </c>
      <c r="S98" s="145">
        <f>SUMIFS(Data!$J:$J,Data!$H:$H,$M98,Data!$E:$E,S$94,Data!$C:$C,$N$6,Data!$F:$F,S$95)</f>
        <v>0</v>
      </c>
      <c r="T98" s="145">
        <f>SUMIFS(Data!$J:$J,Data!$H:$H,$M98,Data!$E:$E,T$94,Data!$C:$C,$N$6,Data!$F:$F,T$95)</f>
        <v>0</v>
      </c>
      <c r="U98" s="145">
        <f>SUMIFS(Data!$J:$J,Data!$H:$H,$M98,Data!$E:$E,U$94,Data!$C:$C,$N$6,Data!$F:$F,U$95)</f>
        <v>0</v>
      </c>
      <c r="V98" s="1"/>
      <c r="W98" s="1"/>
      <c r="X98" s="1"/>
      <c r="AJ98" s="1"/>
      <c r="AK98" s="1"/>
    </row>
    <row r="99" spans="1:37" ht="15.75" hidden="1" customHeight="1" thickBot="1" x14ac:dyDescent="0.25">
      <c r="A99" s="1"/>
      <c r="B99" s="98" t="s">
        <v>76</v>
      </c>
      <c r="C99" s="92" t="e">
        <f>C90/C98</f>
        <v>#DIV/0!</v>
      </c>
      <c r="D99" s="92" t="e">
        <f>D90/D98</f>
        <v>#DIV/0!</v>
      </c>
      <c r="E99" s="92" t="e">
        <f t="shared" ref="E99:H99" si="86">E90/E98</f>
        <v>#DIV/0!</v>
      </c>
      <c r="F99" s="92" t="e">
        <f t="shared" si="86"/>
        <v>#DIV/0!</v>
      </c>
      <c r="G99" s="92" t="e">
        <f t="shared" si="86"/>
        <v>#DIV/0!</v>
      </c>
      <c r="H99" s="92" t="e">
        <f t="shared" si="86"/>
        <v>#DIV/0!</v>
      </c>
      <c r="I99" s="92" t="e">
        <f t="shared" ref="I99:J99" si="87">I90/I98</f>
        <v>#DIV/0!</v>
      </c>
      <c r="J99" s="92" t="e">
        <f t="shared" si="87"/>
        <v>#DIV/0!</v>
      </c>
      <c r="K99" s="1"/>
      <c r="L99" s="1"/>
      <c r="M99" s="98" t="s">
        <v>76</v>
      </c>
      <c r="N99" s="92" t="e">
        <f>N90/N98</f>
        <v>#DIV/0!</v>
      </c>
      <c r="O99" s="92" t="e">
        <f t="shared" ref="O99:S99" si="88">O90/O98</f>
        <v>#DIV/0!</v>
      </c>
      <c r="P99" s="92" t="e">
        <f t="shared" si="88"/>
        <v>#DIV/0!</v>
      </c>
      <c r="Q99" s="92" t="e">
        <f t="shared" si="88"/>
        <v>#DIV/0!</v>
      </c>
      <c r="R99" s="92" t="e">
        <f t="shared" si="88"/>
        <v>#DIV/0!</v>
      </c>
      <c r="S99" s="92" t="e">
        <f t="shared" si="88"/>
        <v>#DIV/0!</v>
      </c>
      <c r="T99" s="92" t="e">
        <f t="shared" ref="T99:U99" si="89">T90/T98</f>
        <v>#DIV/0!</v>
      </c>
      <c r="U99" s="92" t="e">
        <f t="shared" si="89"/>
        <v>#DIV/0!</v>
      </c>
      <c r="V99" s="1"/>
      <c r="W99" s="1"/>
      <c r="X99" s="1"/>
      <c r="AJ99" s="1"/>
      <c r="AK99" s="1"/>
    </row>
    <row r="100" spans="1:37" ht="15.75" hidden="1" customHeight="1" x14ac:dyDescent="0.2">
      <c r="A100" s="1"/>
      <c r="B100" s="152" t="s">
        <v>92</v>
      </c>
      <c r="C100" s="153" t="e">
        <f>C99/$C$99</f>
        <v>#DIV/0!</v>
      </c>
      <c r="D100" s="153" t="e">
        <f t="shared" ref="D100:J100" si="90">D99/$C$99</f>
        <v>#DIV/0!</v>
      </c>
      <c r="E100" s="153" t="e">
        <f t="shared" si="90"/>
        <v>#DIV/0!</v>
      </c>
      <c r="F100" s="153" t="e">
        <f t="shared" si="90"/>
        <v>#DIV/0!</v>
      </c>
      <c r="G100" s="153" t="e">
        <f t="shared" si="90"/>
        <v>#DIV/0!</v>
      </c>
      <c r="H100" s="153" t="e">
        <f t="shared" si="90"/>
        <v>#DIV/0!</v>
      </c>
      <c r="I100" s="153" t="e">
        <f t="shared" ref="I100" si="91">I99/$C$99</f>
        <v>#DIV/0!</v>
      </c>
      <c r="J100" s="153" t="e">
        <f t="shared" si="90"/>
        <v>#DIV/0!</v>
      </c>
      <c r="K100" s="1"/>
      <c r="L100" s="1"/>
      <c r="M100" s="152" t="s">
        <v>92</v>
      </c>
      <c r="N100" s="153" t="e">
        <f>N99/$N$99</f>
        <v>#DIV/0!</v>
      </c>
      <c r="O100" s="153" t="e">
        <f t="shared" ref="O100:U100" si="92">O99/$N$99</f>
        <v>#DIV/0!</v>
      </c>
      <c r="P100" s="153" t="e">
        <f t="shared" si="92"/>
        <v>#DIV/0!</v>
      </c>
      <c r="Q100" s="153" t="e">
        <f t="shared" si="92"/>
        <v>#DIV/0!</v>
      </c>
      <c r="R100" s="153" t="e">
        <f t="shared" si="92"/>
        <v>#DIV/0!</v>
      </c>
      <c r="S100" s="153" t="e">
        <f t="shared" si="92"/>
        <v>#DIV/0!</v>
      </c>
      <c r="T100" s="153" t="e">
        <f t="shared" ref="T100" si="93">T99/$N$99</f>
        <v>#DIV/0!</v>
      </c>
      <c r="U100" s="153" t="e">
        <f t="shared" si="92"/>
        <v>#DIV/0!</v>
      </c>
      <c r="V100" s="1"/>
      <c r="W100" s="1"/>
      <c r="X100" s="1"/>
      <c r="AJ100" s="1"/>
      <c r="AK100" s="1"/>
    </row>
    <row r="101" spans="1:37" ht="15.75" hidden="1" customHeight="1" thickBot="1" x14ac:dyDescent="0.25">
      <c r="A101" s="1"/>
      <c r="B101" s="131" t="e">
        <f>'Input keuzevariabelen'!#REF!</f>
        <v>#REF!</v>
      </c>
      <c r="C101" s="145">
        <f>SUMIFS(Data!$I:$I,Data!$H:$H,$B101,Data!$E:$E,C$94,Data!$F:$F,C$95)</f>
        <v>0</v>
      </c>
      <c r="D101" s="145">
        <f>SUMIFS(Data!$I:$I,Data!$H:$H,$B101,Data!$E:$E,D$94,Data!$F:$F,D$95)</f>
        <v>0</v>
      </c>
      <c r="E101" s="145">
        <f>SUMIFS(Data!$I:$I,Data!$H:$H,$B101,Data!$E:$E,E$94,Data!$F:$F,E$95)</f>
        <v>0</v>
      </c>
      <c r="F101" s="145">
        <f>SUMIFS(Data!$I:$I,Data!$H:$H,$B101,Data!$E:$E,F$94,Data!$F:$F,F$95)</f>
        <v>0</v>
      </c>
      <c r="G101" s="145">
        <f>SUMIFS(Data!$I:$I,Data!$H:$H,$B101,Data!$E:$E,G$94,Data!$F:$F,G$95)</f>
        <v>0</v>
      </c>
      <c r="H101" s="145">
        <f>SUMIFS(Data!$I:$I,Data!$H:$H,$B101,Data!$E:$E,H$94,Data!$F:$F,H$95)</f>
        <v>0</v>
      </c>
      <c r="I101" s="145">
        <f>SUMIFS(Data!$I:$I,Data!$H:$H,$B101,Data!$E:$E,I$94,Data!$F:$F,I$95)</f>
        <v>0</v>
      </c>
      <c r="J101" s="145">
        <f>SUMIFS(Data!$I:$I,Data!$H:$H,$B101,Data!$E:$E,J$94,Data!$F:$F,J$95)</f>
        <v>0</v>
      </c>
      <c r="K101" s="1"/>
      <c r="L101" s="1"/>
      <c r="M101" s="131" t="e">
        <f>'Input keuzevariabelen'!#REF!</f>
        <v>#REF!</v>
      </c>
      <c r="N101" s="145">
        <f>SUMIFS(Data!$J:$J,Data!$H:$H,$M101,Data!$E:$E,N$94,Data!$C:$C,$N$6,Data!$F:$F,N$95)</f>
        <v>0</v>
      </c>
      <c r="O101" s="145">
        <f>SUMIFS(Data!$J:$J,Data!$H:$H,$M101,Data!$E:$E,O$94,Data!$C:$C,$N$6,Data!$F:$F,O$95)</f>
        <v>0</v>
      </c>
      <c r="P101" s="145">
        <f>SUMIFS(Data!$J:$J,Data!$H:$H,$M101,Data!$E:$E,P$94,Data!$C:$C,$N$6,Data!$F:$F,P$95)</f>
        <v>0</v>
      </c>
      <c r="Q101" s="145">
        <f>SUMIFS(Data!$J:$J,Data!$H:$H,$M101,Data!$E:$E,Q$94,Data!$C:$C,$N$6,Data!$F:$F,Q$95)</f>
        <v>0</v>
      </c>
      <c r="R101" s="145">
        <f>SUMIFS(Data!$J:$J,Data!$H:$H,$M101,Data!$E:$E,R$94,Data!$C:$C,$N$6,Data!$F:$F,R$95)</f>
        <v>0</v>
      </c>
      <c r="S101" s="145">
        <f>SUMIFS(Data!$J:$J,Data!$H:$H,$M101,Data!$E:$E,S$94,Data!$C:$C,$N$6,Data!$F:$F,S$95)</f>
        <v>0</v>
      </c>
      <c r="T101" s="145">
        <f>SUMIFS(Data!$J:$J,Data!$H:$H,$M101,Data!$E:$E,T$94,Data!$C:$C,$N$6,Data!$F:$F,T$95)</f>
        <v>0</v>
      </c>
      <c r="U101" s="145">
        <f>SUMIFS(Data!$J:$J,Data!$H:$H,$M101,Data!$E:$E,U$94,Data!$C:$C,$N$6,Data!$F:$F,U$95)</f>
        <v>0</v>
      </c>
      <c r="V101" s="1"/>
      <c r="W101" s="1"/>
      <c r="X101" s="1"/>
      <c r="AJ101" s="1"/>
      <c r="AK101" s="1"/>
    </row>
    <row r="102" spans="1:37" ht="15.75" hidden="1" customHeight="1" thickBot="1" x14ac:dyDescent="0.25">
      <c r="A102" s="1"/>
      <c r="B102" s="98" t="s">
        <v>76</v>
      </c>
      <c r="C102" s="92" t="e">
        <f>C90/C101</f>
        <v>#DIV/0!</v>
      </c>
      <c r="D102" s="92" t="e">
        <f t="shared" ref="D102:J102" si="94">D90/D101</f>
        <v>#DIV/0!</v>
      </c>
      <c r="E102" s="92" t="e">
        <f t="shared" si="94"/>
        <v>#DIV/0!</v>
      </c>
      <c r="F102" s="92" t="e">
        <f t="shared" si="94"/>
        <v>#DIV/0!</v>
      </c>
      <c r="G102" s="92" t="e">
        <f t="shared" si="94"/>
        <v>#DIV/0!</v>
      </c>
      <c r="H102" s="92" t="e">
        <f t="shared" si="94"/>
        <v>#DIV/0!</v>
      </c>
      <c r="I102" s="92" t="e">
        <f t="shared" ref="I102" si="95">I90/I101</f>
        <v>#DIV/0!</v>
      </c>
      <c r="J102" s="92" t="e">
        <f t="shared" si="94"/>
        <v>#DIV/0!</v>
      </c>
      <c r="K102" s="1"/>
      <c r="L102" s="1"/>
      <c r="M102" s="98" t="s">
        <v>76</v>
      </c>
      <c r="N102" s="92" t="e">
        <f>N90/N101</f>
        <v>#DIV/0!</v>
      </c>
      <c r="O102" s="92" t="e">
        <f t="shared" ref="O102:U102" si="96">O90/O101</f>
        <v>#DIV/0!</v>
      </c>
      <c r="P102" s="92" t="e">
        <f t="shared" si="96"/>
        <v>#DIV/0!</v>
      </c>
      <c r="Q102" s="92" t="e">
        <f t="shared" si="96"/>
        <v>#DIV/0!</v>
      </c>
      <c r="R102" s="92" t="e">
        <f t="shared" si="96"/>
        <v>#DIV/0!</v>
      </c>
      <c r="S102" s="92" t="e">
        <f t="shared" si="96"/>
        <v>#DIV/0!</v>
      </c>
      <c r="T102" s="92" t="e">
        <f t="shared" ref="T102" si="97">T90/T101</f>
        <v>#DIV/0!</v>
      </c>
      <c r="U102" s="92" t="e">
        <f t="shared" si="96"/>
        <v>#DIV/0!</v>
      </c>
      <c r="V102" s="1"/>
      <c r="W102" s="1"/>
      <c r="X102" s="1"/>
      <c r="AJ102" s="1"/>
      <c r="AK102" s="1"/>
    </row>
    <row r="103" spans="1:37" ht="15.75" hidden="1" customHeight="1" x14ac:dyDescent="0.2">
      <c r="A103" s="1"/>
      <c r="B103" s="152" t="s">
        <v>78</v>
      </c>
      <c r="C103" s="153" t="e">
        <f>C102/$C$102</f>
        <v>#DIV/0!</v>
      </c>
      <c r="D103" s="153" t="e">
        <f t="shared" ref="D103:J103" si="98">D102/$C$102</f>
        <v>#DIV/0!</v>
      </c>
      <c r="E103" s="153" t="e">
        <f t="shared" si="98"/>
        <v>#DIV/0!</v>
      </c>
      <c r="F103" s="153" t="e">
        <f t="shared" si="98"/>
        <v>#DIV/0!</v>
      </c>
      <c r="G103" s="153" t="e">
        <f t="shared" si="98"/>
        <v>#DIV/0!</v>
      </c>
      <c r="H103" s="153" t="e">
        <f t="shared" si="98"/>
        <v>#DIV/0!</v>
      </c>
      <c r="I103" s="153" t="e">
        <f t="shared" ref="I103" si="99">I102/$C$102</f>
        <v>#DIV/0!</v>
      </c>
      <c r="J103" s="153" t="e">
        <f t="shared" si="98"/>
        <v>#DIV/0!</v>
      </c>
      <c r="K103" s="1"/>
      <c r="L103" s="1"/>
      <c r="M103" s="152" t="s">
        <v>78</v>
      </c>
      <c r="N103" s="153" t="e">
        <f>N102/$N$102</f>
        <v>#DIV/0!</v>
      </c>
      <c r="O103" s="153" t="e">
        <f t="shared" ref="O103:U103" si="100">O102/$N$102</f>
        <v>#DIV/0!</v>
      </c>
      <c r="P103" s="153" t="e">
        <f t="shared" si="100"/>
        <v>#DIV/0!</v>
      </c>
      <c r="Q103" s="153" t="e">
        <f t="shared" si="100"/>
        <v>#DIV/0!</v>
      </c>
      <c r="R103" s="153" t="e">
        <f t="shared" si="100"/>
        <v>#DIV/0!</v>
      </c>
      <c r="S103" s="153" t="e">
        <f t="shared" si="100"/>
        <v>#DIV/0!</v>
      </c>
      <c r="T103" s="153" t="e">
        <f t="shared" ref="T103" si="101">T102/$N$102</f>
        <v>#DIV/0!</v>
      </c>
      <c r="U103" s="153" t="e">
        <f t="shared" si="100"/>
        <v>#DIV/0!</v>
      </c>
      <c r="V103" s="1"/>
      <c r="W103" s="1"/>
      <c r="X103" s="1"/>
      <c r="AJ103" s="1"/>
      <c r="AK103" s="1"/>
    </row>
    <row r="104" spans="1:37" ht="15.75" hidden="1" customHeight="1" thickBot="1" x14ac:dyDescent="0.25">
      <c r="A104" s="1"/>
      <c r="B104" s="131" t="e">
        <f>'Input keuzevariabelen'!#REF!</f>
        <v>#REF!</v>
      </c>
      <c r="C104" s="145">
        <f>SUMIFS(Data!$I:$I,Data!$H:$H,$B104,Data!$E:$E,C$94,Data!$F:$F,C$95)</f>
        <v>0</v>
      </c>
      <c r="D104" s="145">
        <f>SUMIFS(Data!$I:$I,Data!$H:$H,$B104,Data!$E:$E,D$94,Data!$F:$F,D$95)</f>
        <v>0</v>
      </c>
      <c r="E104" s="145">
        <f>SUMIFS(Data!$I:$I,Data!$H:$H,$B104,Data!$E:$E,E$94,Data!$F:$F,E$95)</f>
        <v>0</v>
      </c>
      <c r="F104" s="145">
        <f>SUMIFS(Data!$I:$I,Data!$H:$H,$B104,Data!$E:$E,F$94,Data!$F:$F,F$95)</f>
        <v>0</v>
      </c>
      <c r="G104" s="145">
        <f>SUMIFS(Data!$I:$I,Data!$H:$H,$B104,Data!$E:$E,G$94,Data!$F:$F,G$95)</f>
        <v>0</v>
      </c>
      <c r="H104" s="145">
        <f>SUMIFS(Data!$I:$I,Data!$H:$H,$B104,Data!$E:$E,H$94,Data!$F:$F,H$95)</f>
        <v>0</v>
      </c>
      <c r="I104" s="145">
        <f>SUMIFS(Data!$I:$I,Data!$H:$H,$B104,Data!$E:$E,I$94,Data!$F:$F,I$95)</f>
        <v>0</v>
      </c>
      <c r="J104" s="145">
        <f>SUMIFS(Data!$I:$I,Data!$H:$H,$B104,Data!$E:$E,J$94,Data!$F:$F,J$95)</f>
        <v>0</v>
      </c>
      <c r="K104" s="1"/>
      <c r="L104" s="1"/>
      <c r="M104" s="131" t="e">
        <f>'Input keuzevariabelen'!#REF!</f>
        <v>#REF!</v>
      </c>
      <c r="N104" s="145">
        <f>SUMIFS(Data!$J:$J,Data!$H:$H,$M104,Data!$E:$E,N$94,Data!$C:$C,$N$6,Data!$F:$F,N$95)</f>
        <v>0</v>
      </c>
      <c r="O104" s="145">
        <f>SUMIFS(Data!$J:$J,Data!$H:$H,$M104,Data!$E:$E,O$94,Data!$C:$C,$N$6,Data!$F:$F,O$95)</f>
        <v>0</v>
      </c>
      <c r="P104" s="145">
        <f>SUMIFS(Data!$J:$J,Data!$H:$H,$M104,Data!$E:$E,P$94,Data!$C:$C,$N$6,Data!$F:$F,P$95)</f>
        <v>0</v>
      </c>
      <c r="Q104" s="145">
        <f>SUMIFS(Data!$J:$J,Data!$H:$H,$M104,Data!$E:$E,Q$94,Data!$C:$C,$N$6,Data!$F:$F,Q$95)</f>
        <v>0</v>
      </c>
      <c r="R104" s="145">
        <f>SUMIFS(Data!$J:$J,Data!$H:$H,$M104,Data!$E:$E,R$94,Data!$C:$C,$N$6,Data!$F:$F,R$95)</f>
        <v>0</v>
      </c>
      <c r="S104" s="145">
        <f>SUMIFS(Data!$J:$J,Data!$H:$H,$M104,Data!$E:$E,S$94,Data!$C:$C,$N$6,Data!$F:$F,S$95)</f>
        <v>0</v>
      </c>
      <c r="T104" s="145">
        <f>SUMIFS(Data!$J:$J,Data!$H:$H,$M104,Data!$E:$E,T$94,Data!$C:$C,$N$6,Data!$F:$F,T$95)</f>
        <v>0</v>
      </c>
      <c r="U104" s="145">
        <f>SUMIFS(Data!$J:$J,Data!$H:$H,$M104,Data!$E:$E,U$94,Data!$C:$C,$N$6,Data!$F:$F,U$95)</f>
        <v>0</v>
      </c>
      <c r="V104" s="1"/>
      <c r="W104" s="1"/>
      <c r="X104" s="1"/>
      <c r="AJ104" s="1"/>
      <c r="AK104" s="1"/>
    </row>
    <row r="105" spans="1:37" ht="15.75" hidden="1" customHeight="1" thickBot="1" x14ac:dyDescent="0.25">
      <c r="A105" s="1"/>
      <c r="B105" s="98" t="s">
        <v>76</v>
      </c>
      <c r="C105" s="92" t="e">
        <f>C90/C104</f>
        <v>#DIV/0!</v>
      </c>
      <c r="D105" s="92" t="e">
        <f t="shared" ref="D105:J105" si="102">D90/D104</f>
        <v>#DIV/0!</v>
      </c>
      <c r="E105" s="92" t="e">
        <f t="shared" si="102"/>
        <v>#DIV/0!</v>
      </c>
      <c r="F105" s="92" t="e">
        <f t="shared" si="102"/>
        <v>#DIV/0!</v>
      </c>
      <c r="G105" s="92" t="e">
        <f t="shared" si="102"/>
        <v>#DIV/0!</v>
      </c>
      <c r="H105" s="92" t="e">
        <f t="shared" si="102"/>
        <v>#DIV/0!</v>
      </c>
      <c r="I105" s="92" t="e">
        <f t="shared" ref="I105" si="103">I90/I104</f>
        <v>#DIV/0!</v>
      </c>
      <c r="J105" s="92" t="e">
        <f t="shared" si="102"/>
        <v>#DIV/0!</v>
      </c>
      <c r="K105" s="1"/>
      <c r="L105" s="1"/>
      <c r="M105" s="98" t="s">
        <v>76</v>
      </c>
      <c r="N105" s="92" t="e">
        <f>N90/N104</f>
        <v>#DIV/0!</v>
      </c>
      <c r="O105" s="92" t="e">
        <f t="shared" ref="O105:U105" si="104">O90/O104</f>
        <v>#DIV/0!</v>
      </c>
      <c r="P105" s="92" t="e">
        <f t="shared" si="104"/>
        <v>#DIV/0!</v>
      </c>
      <c r="Q105" s="92" t="e">
        <f t="shared" si="104"/>
        <v>#DIV/0!</v>
      </c>
      <c r="R105" s="92" t="e">
        <f t="shared" si="104"/>
        <v>#DIV/0!</v>
      </c>
      <c r="S105" s="92" t="e">
        <f t="shared" si="104"/>
        <v>#DIV/0!</v>
      </c>
      <c r="T105" s="92" t="e">
        <f t="shared" ref="T105" si="105">T90/T104</f>
        <v>#DIV/0!</v>
      </c>
      <c r="U105" s="92" t="e">
        <f t="shared" si="104"/>
        <v>#DIV/0!</v>
      </c>
      <c r="V105" s="1"/>
      <c r="W105" s="1"/>
      <c r="X105" s="1"/>
      <c r="AJ105" s="1"/>
      <c r="AK105" s="1"/>
    </row>
    <row r="106" spans="1:37" ht="15.75" hidden="1" customHeight="1" x14ac:dyDescent="0.2">
      <c r="A106" s="1"/>
      <c r="B106" s="152" t="s">
        <v>79</v>
      </c>
      <c r="C106" s="153" t="e">
        <f>C105/$C$105</f>
        <v>#DIV/0!</v>
      </c>
      <c r="D106" s="153" t="e">
        <f t="shared" ref="D106:J106" si="106">D105/$C$105</f>
        <v>#DIV/0!</v>
      </c>
      <c r="E106" s="153" t="e">
        <f t="shared" si="106"/>
        <v>#DIV/0!</v>
      </c>
      <c r="F106" s="153" t="e">
        <f t="shared" si="106"/>
        <v>#DIV/0!</v>
      </c>
      <c r="G106" s="153" t="e">
        <f t="shared" si="106"/>
        <v>#DIV/0!</v>
      </c>
      <c r="H106" s="153" t="e">
        <f t="shared" si="106"/>
        <v>#DIV/0!</v>
      </c>
      <c r="I106" s="153" t="e">
        <f t="shared" ref="I106" si="107">I105/$C$105</f>
        <v>#DIV/0!</v>
      </c>
      <c r="J106" s="153" t="e">
        <f t="shared" si="106"/>
        <v>#DIV/0!</v>
      </c>
      <c r="K106" s="1"/>
      <c r="L106" s="1"/>
      <c r="M106" s="152" t="s">
        <v>79</v>
      </c>
      <c r="N106" s="153" t="e">
        <f>N105/$N$105</f>
        <v>#DIV/0!</v>
      </c>
      <c r="O106" s="153" t="e">
        <f t="shared" ref="O106:U106" si="108">O105/$N$105</f>
        <v>#DIV/0!</v>
      </c>
      <c r="P106" s="153" t="e">
        <f t="shared" si="108"/>
        <v>#DIV/0!</v>
      </c>
      <c r="Q106" s="153" t="e">
        <f t="shared" si="108"/>
        <v>#DIV/0!</v>
      </c>
      <c r="R106" s="153" t="e">
        <f t="shared" si="108"/>
        <v>#DIV/0!</v>
      </c>
      <c r="S106" s="153" t="e">
        <f t="shared" si="108"/>
        <v>#DIV/0!</v>
      </c>
      <c r="T106" s="153" t="e">
        <f t="shared" ref="T106" si="109">T105/$N$105</f>
        <v>#DIV/0!</v>
      </c>
      <c r="U106" s="153" t="e">
        <f t="shared" si="108"/>
        <v>#DIV/0!</v>
      </c>
      <c r="V106" s="1"/>
      <c r="W106" s="1"/>
      <c r="X106" s="1"/>
      <c r="AJ106" s="1"/>
      <c r="AK106" s="1"/>
    </row>
    <row r="107" spans="1:37" ht="15.75" hidden="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AJ107" s="1"/>
      <c r="AK107" s="1"/>
    </row>
    <row r="108" spans="1:37" ht="15.75" hidden="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AJ108" s="1"/>
      <c r="AK108" s="1"/>
    </row>
    <row r="109" spans="1:37" ht="15.75" hidden="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AJ109" s="1"/>
      <c r="AK109" s="1"/>
    </row>
    <row r="110" spans="1:37" ht="15.75" hidden="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AJ110" s="1"/>
      <c r="AK110" s="1"/>
    </row>
    <row r="111" spans="1:37" ht="15.75" hidden="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AJ111" s="1"/>
      <c r="AK111" s="1"/>
    </row>
    <row r="112" spans="1:37" ht="15.75" hidden="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AJ112" s="1"/>
      <c r="AK112" s="1"/>
    </row>
    <row r="113" spans="1:37" ht="15.75" hidden="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AJ113" s="1"/>
      <c r="AK113" s="1"/>
    </row>
    <row r="114" spans="1:37" ht="15.75" hidden="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AJ114" s="1"/>
      <c r="AK114" s="1"/>
    </row>
    <row r="115" spans="1:37" ht="15.75" hidden="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AJ115" s="1"/>
      <c r="AK115" s="1"/>
    </row>
    <row r="116" spans="1:37" ht="15.75" hidden="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AJ116" s="1"/>
      <c r="AK116" s="1"/>
    </row>
    <row r="117" spans="1:37" ht="15.75" hidden="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AJ117" s="1"/>
      <c r="AK117" s="1"/>
    </row>
    <row r="118" spans="1:37" ht="15.75" hidden="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AJ118" s="1"/>
      <c r="AK118" s="1"/>
    </row>
    <row r="119" spans="1:37" ht="15.75" hidden="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AJ119" s="1"/>
      <c r="AK119" s="1"/>
    </row>
    <row r="120" spans="1:37" ht="15.75" hidden="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AJ120" s="1"/>
      <c r="AK120" s="1"/>
    </row>
    <row r="121" spans="1:37" ht="15.75" hidden="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AJ121" s="1"/>
      <c r="AK121" s="1"/>
    </row>
    <row r="122" spans="1:37" ht="15.75" hidden="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AJ122" s="1"/>
      <c r="AK122" s="1"/>
    </row>
    <row r="123" spans="1:37" ht="15.75" hidden="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AJ123" s="1"/>
      <c r="AK123" s="1"/>
    </row>
    <row r="124" spans="1:37" ht="15.75" hidden="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AJ124" s="1"/>
      <c r="AK124" s="1"/>
    </row>
    <row r="125" spans="1:37" ht="15.75" hidden="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AJ125" s="1"/>
      <c r="AK125" s="1"/>
    </row>
    <row r="126" spans="1:37" ht="15.75" hidden="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AJ126" s="1"/>
      <c r="AK126" s="1"/>
    </row>
    <row r="127" spans="1:37" ht="15.75" hidden="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AJ127" s="1"/>
      <c r="AK127" s="1"/>
    </row>
    <row r="128" spans="1:37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AJ128" s="1"/>
      <c r="AK128" s="1"/>
    </row>
    <row r="129" spans="1:37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AJ129" s="1"/>
      <c r="AK129" s="1"/>
    </row>
    <row r="130" spans="1:37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AJ130" s="1"/>
      <c r="AK130" s="1"/>
    </row>
    <row r="131" spans="1:37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AJ131" s="1"/>
      <c r="AK131" s="1"/>
    </row>
    <row r="132" spans="1:37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AJ132" s="1"/>
      <c r="AK132" s="1"/>
    </row>
    <row r="133" spans="1:37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AJ133" s="1"/>
      <c r="AK133" s="1"/>
    </row>
    <row r="134" spans="1:37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AJ134" s="1"/>
      <c r="AK134" s="1"/>
    </row>
    <row r="135" spans="1:37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AJ135" s="1"/>
      <c r="AK135" s="1"/>
    </row>
    <row r="136" spans="1:37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AJ136" s="1"/>
      <c r="AK136" s="1"/>
    </row>
    <row r="137" spans="1:37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AJ137" s="1"/>
      <c r="AK137" s="1"/>
    </row>
    <row r="138" spans="1:37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AJ138" s="1"/>
      <c r="AK138" s="1"/>
    </row>
    <row r="139" spans="1:37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AJ139" s="1"/>
      <c r="AK139" s="1"/>
    </row>
    <row r="140" spans="1:37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AJ140" s="1"/>
      <c r="AK140" s="1"/>
    </row>
    <row r="141" spans="1:37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AJ141" s="1"/>
      <c r="AK141" s="1"/>
    </row>
    <row r="142" spans="1:37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AJ142" s="1"/>
      <c r="AK142" s="1"/>
    </row>
    <row r="143" spans="1:37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AJ143" s="1"/>
      <c r="AK143" s="1"/>
    </row>
    <row r="144" spans="1:37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AJ144" s="1"/>
      <c r="AK144" s="1"/>
    </row>
    <row r="145" spans="1:37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AJ145" s="1"/>
      <c r="AK145" s="1"/>
    </row>
    <row r="146" spans="1:37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AJ146" s="1"/>
      <c r="AK146" s="1"/>
    </row>
    <row r="147" spans="1:37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AJ147" s="1"/>
      <c r="AK147" s="1"/>
    </row>
    <row r="148" spans="1:37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AJ148" s="1"/>
      <c r="AK148" s="1"/>
    </row>
    <row r="149" spans="1:37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AJ149" s="1"/>
      <c r="AK149" s="1"/>
    </row>
    <row r="150" spans="1:37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AJ150" s="1"/>
      <c r="AK150" s="1"/>
    </row>
    <row r="151" spans="1:37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AJ151" s="1"/>
      <c r="AK151" s="1"/>
    </row>
    <row r="152" spans="1:37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AJ152" s="1"/>
      <c r="AK152" s="1"/>
    </row>
    <row r="153" spans="1:37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AJ153" s="1"/>
      <c r="AK153" s="1"/>
    </row>
    <row r="154" spans="1:37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AJ154" s="1"/>
      <c r="AK154" s="1"/>
    </row>
    <row r="155" spans="1:37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AJ155" s="1"/>
      <c r="AK155" s="1"/>
    </row>
    <row r="156" spans="1:37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AJ156" s="1"/>
      <c r="AK156" s="1"/>
    </row>
    <row r="157" spans="1:37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AJ157" s="1"/>
      <c r="AK157" s="1"/>
    </row>
    <row r="158" spans="1:37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AJ158" s="1"/>
      <c r="AK158" s="1"/>
    </row>
    <row r="159" spans="1:37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AJ159" s="1"/>
      <c r="AK159" s="1"/>
    </row>
    <row r="160" spans="1:37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AJ160" s="1"/>
      <c r="AK160" s="1"/>
    </row>
    <row r="161" spans="1:37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AJ161" s="1"/>
      <c r="AK161" s="1"/>
    </row>
    <row r="162" spans="1:37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AJ162" s="1"/>
      <c r="AK162" s="1"/>
    </row>
    <row r="163" spans="1:37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AJ163" s="1"/>
      <c r="AK163" s="1"/>
    </row>
    <row r="164" spans="1:37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AJ164" s="1"/>
      <c r="AK164" s="1"/>
    </row>
    <row r="165" spans="1:37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AJ165" s="1"/>
      <c r="AK165" s="1"/>
    </row>
    <row r="166" spans="1:37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AJ166" s="1"/>
      <c r="AK166" s="1"/>
    </row>
    <row r="167" spans="1:37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AJ167" s="1"/>
      <c r="AK167" s="1"/>
    </row>
    <row r="168" spans="1:37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AJ168" s="1"/>
      <c r="AK168" s="1"/>
    </row>
    <row r="169" spans="1:37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AJ169" s="1"/>
      <c r="AK169" s="1"/>
    </row>
    <row r="170" spans="1:37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AJ170" s="1"/>
      <c r="AK170" s="1"/>
    </row>
    <row r="171" spans="1:37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AJ171" s="1"/>
      <c r="AK171" s="1"/>
    </row>
    <row r="172" spans="1:37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AJ172" s="1"/>
      <c r="AK172" s="1"/>
    </row>
    <row r="173" spans="1:37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AJ173" s="1"/>
      <c r="AK173" s="1"/>
    </row>
    <row r="174" spans="1:37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AJ174" s="1"/>
      <c r="AK174" s="1"/>
    </row>
    <row r="175" spans="1:37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AJ175" s="1"/>
      <c r="AK175" s="1"/>
    </row>
    <row r="176" spans="1:37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AJ176" s="1"/>
      <c r="AK176" s="1"/>
    </row>
    <row r="177" spans="1:37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AJ177" s="1"/>
      <c r="AK177" s="1"/>
    </row>
    <row r="178" spans="1:37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AJ178" s="1"/>
      <c r="AK178" s="1"/>
    </row>
    <row r="179" spans="1:37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AJ179" s="1"/>
      <c r="AK179" s="1"/>
    </row>
    <row r="180" spans="1:37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AJ180" s="1"/>
      <c r="AK180" s="1"/>
    </row>
    <row r="181" spans="1:37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AJ181" s="1"/>
      <c r="AK181" s="1"/>
    </row>
    <row r="182" spans="1:37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AJ182" s="1"/>
      <c r="AK182" s="1"/>
    </row>
    <row r="183" spans="1:37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AJ183" s="1"/>
      <c r="AK183" s="1"/>
    </row>
    <row r="184" spans="1:37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AJ184" s="1"/>
      <c r="AK184" s="1"/>
    </row>
    <row r="185" spans="1:37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AJ185" s="1"/>
      <c r="AK185" s="1"/>
    </row>
    <row r="186" spans="1:37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AJ186" s="1"/>
      <c r="AK186" s="1"/>
    </row>
    <row r="187" spans="1:37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AJ187" s="1"/>
      <c r="AK187" s="1"/>
    </row>
    <row r="188" spans="1:37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AJ188" s="1"/>
      <c r="AK188" s="1"/>
    </row>
    <row r="189" spans="1:37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AJ189" s="1"/>
      <c r="AK189" s="1"/>
    </row>
    <row r="190" spans="1:37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AJ190" s="1"/>
      <c r="AK190" s="1"/>
    </row>
    <row r="191" spans="1:37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AJ191" s="1"/>
      <c r="AK191" s="1"/>
    </row>
    <row r="192" spans="1:37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AJ192" s="1"/>
      <c r="AK192" s="1"/>
    </row>
    <row r="193" spans="1:37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AJ193" s="1"/>
      <c r="AK193" s="1"/>
    </row>
    <row r="194" spans="1:37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AJ194" s="1"/>
      <c r="AK194" s="1"/>
    </row>
    <row r="195" spans="1:37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AJ195" s="1"/>
      <c r="AK195" s="1"/>
    </row>
    <row r="196" spans="1:37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AJ196" s="1"/>
      <c r="AK196" s="1"/>
    </row>
    <row r="197" spans="1:37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AJ197" s="1"/>
      <c r="AK197" s="1"/>
    </row>
    <row r="198" spans="1:37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AJ198" s="1"/>
      <c r="AK198" s="1"/>
    </row>
    <row r="199" spans="1:37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AJ199" s="1"/>
      <c r="AK199" s="1"/>
    </row>
    <row r="200" spans="1:37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AJ200" s="1"/>
      <c r="AK200" s="1"/>
    </row>
    <row r="201" spans="1:37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AJ201" s="1"/>
      <c r="AK201" s="1"/>
    </row>
    <row r="202" spans="1:37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AJ202" s="1"/>
      <c r="AK202" s="1"/>
    </row>
    <row r="203" spans="1:37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AJ203" s="1"/>
      <c r="AK203" s="1"/>
    </row>
    <row r="204" spans="1:37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AJ204" s="1"/>
      <c r="AK204" s="1"/>
    </row>
    <row r="205" spans="1:37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AJ205" s="1"/>
      <c r="AK205" s="1"/>
    </row>
    <row r="206" spans="1:37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AJ206" s="1"/>
      <c r="AK206" s="1"/>
    </row>
    <row r="207" spans="1:37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AJ207" s="1"/>
      <c r="AK207" s="1"/>
    </row>
    <row r="208" spans="1:37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AJ208" s="1"/>
      <c r="AK208" s="1"/>
    </row>
    <row r="209" spans="1:37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AJ209" s="1"/>
      <c r="AK209" s="1"/>
    </row>
    <row r="210" spans="1:37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AJ210" s="1"/>
      <c r="AK210" s="1"/>
    </row>
    <row r="211" spans="1:37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AJ211" s="1"/>
      <c r="AK211" s="1"/>
    </row>
    <row r="212" spans="1:37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AJ212" s="1"/>
      <c r="AK212" s="1"/>
    </row>
    <row r="213" spans="1:37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AJ213" s="1"/>
      <c r="AK213" s="1"/>
    </row>
    <row r="214" spans="1:37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AJ214" s="1"/>
      <c r="AK214" s="1"/>
    </row>
    <row r="215" spans="1:37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AJ215" s="1"/>
      <c r="AK215" s="1"/>
    </row>
    <row r="216" spans="1:37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AJ216" s="1"/>
      <c r="AK216" s="1"/>
    </row>
    <row r="217" spans="1:37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AJ217" s="1"/>
      <c r="AK217" s="1"/>
    </row>
    <row r="218" spans="1:37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AJ218" s="1"/>
      <c r="AK218" s="1"/>
    </row>
    <row r="219" spans="1:37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AJ219" s="1"/>
      <c r="AK219" s="1"/>
    </row>
    <row r="220" spans="1:37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AJ220" s="1"/>
      <c r="AK220" s="1"/>
    </row>
    <row r="221" spans="1:37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AJ221" s="1"/>
      <c r="AK221" s="1"/>
    </row>
    <row r="222" spans="1:37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AJ222" s="1"/>
      <c r="AK222" s="1"/>
    </row>
    <row r="223" spans="1:37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AJ223" s="1"/>
      <c r="AK223" s="1"/>
    </row>
    <row r="224" spans="1:37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AJ224" s="1"/>
      <c r="AK224" s="1"/>
    </row>
    <row r="225" spans="1:37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AJ225" s="1"/>
      <c r="AK225" s="1"/>
    </row>
    <row r="226" spans="1:37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AJ226" s="1"/>
      <c r="AK226" s="1"/>
    </row>
    <row r="227" spans="1:37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AJ227" s="1"/>
      <c r="AK227" s="1"/>
    </row>
    <row r="228" spans="1:37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AJ228" s="1"/>
      <c r="AK228" s="1"/>
    </row>
    <row r="229" spans="1:37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AJ229" s="1"/>
      <c r="AK229" s="1"/>
    </row>
    <row r="230" spans="1:37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AJ230" s="1"/>
      <c r="AK230" s="1"/>
    </row>
    <row r="231" spans="1:37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AJ231" s="1"/>
      <c r="AK231" s="1"/>
    </row>
    <row r="232" spans="1:37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AJ232" s="1"/>
      <c r="AK232" s="1"/>
    </row>
    <row r="233" spans="1:37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AJ233" s="1"/>
      <c r="AK233" s="1"/>
    </row>
    <row r="234" spans="1:37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AJ234" s="1"/>
      <c r="AK234" s="1"/>
    </row>
    <row r="235" spans="1:37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AJ235" s="1"/>
      <c r="AK235" s="1"/>
    </row>
    <row r="236" spans="1:37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AJ236" s="1"/>
      <c r="AK236" s="1"/>
    </row>
    <row r="237" spans="1:37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AJ237" s="1"/>
      <c r="AK237" s="1"/>
    </row>
    <row r="238" spans="1:37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AJ238" s="1"/>
      <c r="AK238" s="1"/>
    </row>
    <row r="239" spans="1:37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AJ239" s="1"/>
      <c r="AK239" s="1"/>
    </row>
    <row r="240" spans="1:37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AJ240" s="1"/>
      <c r="AK240" s="1"/>
    </row>
    <row r="241" spans="1:37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AJ241" s="1"/>
      <c r="AK241" s="1"/>
    </row>
    <row r="242" spans="1:37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AJ242" s="1"/>
      <c r="AK242" s="1"/>
    </row>
    <row r="243" spans="1:37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AJ243" s="1"/>
      <c r="AK243" s="1"/>
    </row>
    <row r="244" spans="1:37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AJ244" s="1"/>
      <c r="AK244" s="1"/>
    </row>
    <row r="245" spans="1:37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AJ245" s="1"/>
      <c r="AK245" s="1"/>
    </row>
    <row r="246" spans="1:37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AJ246" s="1"/>
      <c r="AK246" s="1"/>
    </row>
    <row r="247" spans="1:37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AJ247" s="1"/>
      <c r="AK247" s="1"/>
    </row>
    <row r="248" spans="1:37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AJ248" s="1"/>
      <c r="AK248" s="1"/>
    </row>
    <row r="249" spans="1:37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AJ249" s="1"/>
      <c r="AK249" s="1"/>
    </row>
    <row r="250" spans="1:37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AJ250" s="1"/>
      <c r="AK250" s="1"/>
    </row>
    <row r="251" spans="1:37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AJ251" s="1"/>
      <c r="AK251" s="1"/>
    </row>
    <row r="252" spans="1:37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AJ252" s="1"/>
      <c r="AK252" s="1"/>
    </row>
    <row r="253" spans="1:37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AJ253" s="1"/>
      <c r="AK253" s="1"/>
    </row>
    <row r="254" spans="1:37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AJ254" s="1"/>
      <c r="AK254" s="1"/>
    </row>
    <row r="255" spans="1:37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AJ255" s="1"/>
      <c r="AK255" s="1"/>
    </row>
    <row r="256" spans="1:37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AJ256" s="1"/>
      <c r="AK256" s="1"/>
    </row>
    <row r="257" spans="1:37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AJ257" s="1"/>
      <c r="AK257" s="1"/>
    </row>
    <row r="258" spans="1:37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AJ258" s="1"/>
      <c r="AK258" s="1"/>
    </row>
    <row r="259" spans="1:37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AJ259" s="1"/>
      <c r="AK259" s="1"/>
    </row>
    <row r="260" spans="1:37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AJ260" s="1"/>
      <c r="AK260" s="1"/>
    </row>
    <row r="261" spans="1:37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AJ261" s="1"/>
      <c r="AK261" s="1"/>
    </row>
    <row r="262" spans="1:37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AJ262" s="1"/>
      <c r="AK262" s="1"/>
    </row>
    <row r="263" spans="1:37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AJ263" s="1"/>
      <c r="AK263" s="1"/>
    </row>
    <row r="264" spans="1:37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AJ264" s="1"/>
      <c r="AK264" s="1"/>
    </row>
    <row r="265" spans="1:37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AJ265" s="1"/>
      <c r="AK265" s="1"/>
    </row>
    <row r="266" spans="1:37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AJ266" s="1"/>
      <c r="AK266" s="1"/>
    </row>
    <row r="267" spans="1:37" ht="140.44999999999999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AJ267" s="1"/>
      <c r="AK267" s="1"/>
    </row>
    <row r="269" spans="1:37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AJ269" s="1"/>
      <c r="AK269" s="1"/>
    </row>
    <row r="270" spans="1:37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AJ270" s="1"/>
      <c r="AK270" s="1"/>
    </row>
    <row r="271" spans="1:37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</sheetData>
  <mergeCells count="11">
    <mergeCell ref="B93:J93"/>
    <mergeCell ref="M93:U93"/>
    <mergeCell ref="B34:J34"/>
    <mergeCell ref="M34:U34"/>
    <mergeCell ref="B66:J66"/>
    <mergeCell ref="M66:U66"/>
    <mergeCell ref="M4:N4"/>
    <mergeCell ref="Y8:Z8"/>
    <mergeCell ref="M8:U8"/>
    <mergeCell ref="B4:C4"/>
    <mergeCell ref="B8:F8"/>
  </mergeCells>
  <pageMargins left="0.7" right="0.7" top="0.75" bottom="0.75" header="0" footer="0"/>
  <pageSetup paperSize="9" fitToWidth="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54503D65-E65A-4F24-8215-92A1DEABE6EE}">
          <x14:formula1>
            <xm:f>'Input keuzevariabelen'!$B$11:$B$16</xm:f>
          </x14:formula1>
          <xm:sqref>N6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434E9-54B9-8444-8CFC-0655772BE7DE}">
  <dimension ref="A1:AJ952"/>
  <sheetViews>
    <sheetView topLeftCell="A5" zoomScale="90" zoomScaleNormal="90" workbookViewId="0">
      <selection activeCell="E30" sqref="E30"/>
    </sheetView>
    <sheetView topLeftCell="A69" workbookViewId="1"/>
  </sheetViews>
  <sheetFormatPr defaultColWidth="12.625" defaultRowHeight="15" customHeight="1" x14ac:dyDescent="0.2"/>
  <cols>
    <col min="1" max="1" width="3" style="165" customWidth="1"/>
    <col min="2" max="2" width="48.125" style="165" customWidth="1"/>
    <col min="3" max="3" width="27.875" style="165" customWidth="1"/>
    <col min="4" max="4" width="18.875" style="165" customWidth="1"/>
    <col min="5" max="5" width="20.375" style="165" customWidth="1"/>
    <col min="6" max="6" width="15.125" style="165" customWidth="1"/>
    <col min="7" max="7" width="8.5" style="165" customWidth="1"/>
    <col min="8" max="8" width="3.125" style="165" customWidth="1"/>
    <col min="9" max="9" width="50.5" style="165" customWidth="1"/>
    <col min="10" max="10" width="27.125" style="165" customWidth="1"/>
    <col min="11" max="11" width="19.625" style="165" customWidth="1"/>
    <col min="12" max="12" width="20.625" style="165" customWidth="1"/>
    <col min="13" max="13" width="18" style="165" customWidth="1"/>
    <col min="14" max="14" width="7.375" style="226" customWidth="1"/>
    <col min="15" max="15" width="4.875" style="226" customWidth="1"/>
    <col min="16" max="21" width="17.125" style="226" customWidth="1"/>
    <col min="22" max="22" width="17.125" style="165" customWidth="1"/>
    <col min="23" max="30" width="3" style="165" customWidth="1"/>
    <col min="31" max="31" width="20.125" style="165" customWidth="1"/>
    <col min="32" max="32" width="21" style="165" customWidth="1"/>
    <col min="33" max="33" width="31.5" style="165" customWidth="1"/>
    <col min="34" max="34" width="8.375" style="165" customWidth="1"/>
    <col min="35" max="35" width="10.875" style="165" customWidth="1"/>
    <col min="36" max="36" width="8" style="165" customWidth="1"/>
    <col min="37" max="16384" width="12.625" style="165"/>
  </cols>
  <sheetData>
    <row r="1" spans="1:36" ht="49.5" customHeight="1" x14ac:dyDescent="0.2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</row>
    <row r="2" spans="1:36" ht="49.5" customHeight="1" x14ac:dyDescent="0.2">
      <c r="A2" s="164"/>
      <c r="B2" s="360" t="s">
        <v>93</v>
      </c>
      <c r="C2" s="360"/>
      <c r="D2" s="360"/>
      <c r="E2" s="360"/>
      <c r="F2" s="360"/>
      <c r="G2" s="360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6"/>
      <c r="AA2" s="166"/>
      <c r="AB2" s="166"/>
      <c r="AC2" s="164"/>
      <c r="AD2" s="164"/>
      <c r="AE2" s="164"/>
      <c r="AF2" s="164"/>
      <c r="AG2" s="164"/>
      <c r="AH2" s="164"/>
      <c r="AI2" s="164"/>
      <c r="AJ2" s="164"/>
    </row>
    <row r="3" spans="1:36" ht="24.95" customHeight="1" x14ac:dyDescent="0.2">
      <c r="A3" s="164"/>
      <c r="B3" s="249"/>
      <c r="C3" s="249"/>
      <c r="D3" s="249"/>
      <c r="E3" s="249"/>
      <c r="F3" s="249"/>
      <c r="G3" s="249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6"/>
      <c r="AA3" s="166"/>
      <c r="AB3" s="166"/>
      <c r="AC3" s="164"/>
      <c r="AD3" s="164"/>
      <c r="AE3" s="164"/>
      <c r="AF3" s="164"/>
      <c r="AG3" s="164"/>
      <c r="AH3" s="164"/>
      <c r="AI3" s="164"/>
      <c r="AJ3" s="164"/>
    </row>
    <row r="4" spans="1:36" ht="15.75" customHeight="1" thickBot="1" x14ac:dyDescent="0.25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</row>
    <row r="5" spans="1:36" ht="24" customHeight="1" thickTop="1" thickBot="1" x14ac:dyDescent="0.25">
      <c r="A5" s="164"/>
      <c r="B5" s="367" t="s">
        <v>94</v>
      </c>
      <c r="C5" s="368"/>
      <c r="D5" s="368"/>
      <c r="E5" s="167"/>
      <c r="F5" s="167"/>
      <c r="G5" s="164"/>
      <c r="H5" s="164"/>
      <c r="I5" s="369" t="s">
        <v>95</v>
      </c>
      <c r="J5" s="370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</row>
    <row r="6" spans="1:36" ht="15.75" customHeight="1" thickTop="1" thickBot="1" x14ac:dyDescent="0.25">
      <c r="A6" s="164"/>
      <c r="B6" s="168" t="s">
        <v>7</v>
      </c>
      <c r="C6" s="371" t="s">
        <v>8</v>
      </c>
      <c r="D6" s="372"/>
      <c r="E6" s="169"/>
      <c r="F6" s="169"/>
      <c r="G6" s="164"/>
      <c r="H6" s="164"/>
      <c r="I6" s="246" t="s">
        <v>7</v>
      </c>
      <c r="J6" s="247" t="s">
        <v>8</v>
      </c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</row>
    <row r="7" spans="1:36" ht="15" customHeight="1" thickTop="1" thickBot="1" x14ac:dyDescent="0.25">
      <c r="A7" s="164"/>
      <c r="B7" s="170" t="s">
        <v>9</v>
      </c>
      <c r="C7" s="373">
        <v>2022</v>
      </c>
      <c r="D7" s="374"/>
      <c r="E7" s="171"/>
      <c r="F7" s="164"/>
      <c r="G7" s="164"/>
      <c r="H7" s="164"/>
      <c r="I7" s="172" t="s">
        <v>10</v>
      </c>
      <c r="J7" s="173" t="s">
        <v>11</v>
      </c>
      <c r="K7" s="171" t="str">
        <f xml:space="preserve"> "Figuur E2. Energieverbruik " &amp; J7</f>
        <v>Figuur E2. Energieverbruik Delfland</v>
      </c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</row>
    <row r="8" spans="1:36" ht="15" customHeight="1" thickBot="1" x14ac:dyDescent="0.25">
      <c r="A8" s="164"/>
      <c r="B8" s="174" t="s">
        <v>12</v>
      </c>
      <c r="C8" s="373" t="s">
        <v>13</v>
      </c>
      <c r="D8" s="374"/>
      <c r="E8" s="164"/>
      <c r="F8" s="164"/>
      <c r="G8" s="164"/>
      <c r="H8" s="164"/>
      <c r="I8" s="170" t="s">
        <v>9</v>
      </c>
      <c r="J8" s="133">
        <v>2022</v>
      </c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</row>
    <row r="9" spans="1:36" ht="15" customHeight="1" thickTop="1" thickBot="1" x14ac:dyDescent="0.25">
      <c r="A9" s="164"/>
      <c r="B9" s="175"/>
      <c r="C9" s="176"/>
      <c r="D9" s="177"/>
      <c r="E9" s="164"/>
      <c r="F9" s="164"/>
      <c r="G9" s="164"/>
      <c r="H9" s="164"/>
      <c r="I9" s="174" t="s">
        <v>12</v>
      </c>
      <c r="J9" s="43" t="s">
        <v>13</v>
      </c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</row>
    <row r="10" spans="1:36" ht="15.75" customHeight="1" thickTop="1" thickBot="1" x14ac:dyDescent="0.25">
      <c r="A10" s="164"/>
      <c r="B10" s="164"/>
      <c r="C10" s="164"/>
      <c r="D10" s="178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</row>
    <row r="11" spans="1:36" ht="33.75" customHeight="1" thickTop="1" thickBot="1" x14ac:dyDescent="0.25">
      <c r="A11" s="164"/>
      <c r="B11" s="363" t="s">
        <v>96</v>
      </c>
      <c r="C11" s="364"/>
      <c r="D11" s="364"/>
      <c r="E11" s="364"/>
      <c r="F11" s="364"/>
      <c r="G11" s="179"/>
      <c r="H11" s="164"/>
      <c r="I11" s="375" t="s">
        <v>97</v>
      </c>
      <c r="J11" s="376"/>
      <c r="K11" s="376"/>
      <c r="L11" s="376"/>
      <c r="M11" s="376"/>
      <c r="N11" s="224"/>
      <c r="O11" s="221"/>
      <c r="P11" s="221"/>
      <c r="Q11" s="221"/>
      <c r="R11" s="221"/>
      <c r="S11" s="221"/>
      <c r="T11" s="227"/>
      <c r="U11" s="179"/>
      <c r="V11" s="179"/>
      <c r="W11" s="164"/>
      <c r="X11" s="361"/>
      <c r="Y11" s="362"/>
      <c r="Z11" s="179"/>
      <c r="AA11" s="179"/>
      <c r="AB11" s="180"/>
      <c r="AC11" s="164"/>
      <c r="AD11" s="164"/>
      <c r="AE11" s="164"/>
      <c r="AF11" s="164"/>
      <c r="AG11" s="164"/>
      <c r="AH11" s="164"/>
      <c r="AI11" s="164"/>
      <c r="AJ11" s="164"/>
    </row>
    <row r="12" spans="1:36" ht="30" customHeight="1" thickTop="1" thickBot="1" x14ac:dyDescent="0.25">
      <c r="A12" s="164"/>
      <c r="B12" s="183" t="s">
        <v>98</v>
      </c>
      <c r="C12" s="184" t="s">
        <v>17</v>
      </c>
      <c r="D12" s="184" t="s">
        <v>18</v>
      </c>
      <c r="E12" s="185" t="s">
        <v>99</v>
      </c>
      <c r="F12" s="186" t="s">
        <v>100</v>
      </c>
      <c r="G12" s="164"/>
      <c r="H12" s="164"/>
      <c r="I12" s="183" t="s">
        <v>98</v>
      </c>
      <c r="J12" s="184" t="s">
        <v>17</v>
      </c>
      <c r="K12" s="184" t="s">
        <v>18</v>
      </c>
      <c r="L12" s="185" t="s">
        <v>99</v>
      </c>
      <c r="M12" s="186" t="s">
        <v>100</v>
      </c>
      <c r="N12" s="221"/>
      <c r="O12" s="221"/>
      <c r="P12" s="221"/>
      <c r="Q12" s="228"/>
      <c r="R12" s="228"/>
      <c r="S12" s="228"/>
      <c r="T12" s="228"/>
      <c r="U12" s="164"/>
      <c r="V12" s="164"/>
      <c r="W12" s="164"/>
      <c r="X12" s="187"/>
      <c r="Y12" s="187"/>
      <c r="Z12" s="187"/>
      <c r="AA12" s="188"/>
      <c r="AB12" s="188"/>
      <c r="AC12" s="164"/>
      <c r="AD12" s="164"/>
      <c r="AE12" s="164"/>
      <c r="AF12" s="164"/>
      <c r="AG12" s="164"/>
      <c r="AH12" s="164"/>
      <c r="AI12" s="164"/>
      <c r="AJ12" s="164"/>
    </row>
    <row r="13" spans="1:36" ht="15.75" customHeight="1" thickTop="1" thickBot="1" x14ac:dyDescent="0.25">
      <c r="A13" s="164"/>
      <c r="B13" s="189" t="s">
        <v>21</v>
      </c>
      <c r="C13" s="51">
        <f>SUMIFS(Data!$J:$J,Data!$H:$H,B13,Data!$E:$E,$C$7,Data!$F:$F,$C$8)</f>
        <v>1629502.9129999999</v>
      </c>
      <c r="D13" s="190" t="s">
        <v>22</v>
      </c>
      <c r="E13" s="191">
        <f>SUMIFS('Input keuzevariabelen'!$P:$P,'Input keuzevariabelen'!$M:$M,B13)</f>
        <v>3.1649999999999998E-2</v>
      </c>
      <c r="F13" s="192">
        <f t="shared" ref="F13:F20" si="0">E13*C13</f>
        <v>51573.767196449997</v>
      </c>
      <c r="G13" s="225">
        <f t="shared" ref="G13:G21" si="1">F13/$F$21</f>
        <v>0.1166980750093146</v>
      </c>
      <c r="H13" s="164"/>
      <c r="I13" s="189" t="s">
        <v>21</v>
      </c>
      <c r="J13" s="60">
        <f>SUMIFS(Data!$J:$J,Data!$H:$H,I13,Data!$E:$E,$J$8,Data!$C:$C,$J$7,Data!$F:$F,$J$9)</f>
        <v>1577985</v>
      </c>
      <c r="K13" s="190" t="s">
        <v>22</v>
      </c>
      <c r="L13" s="191">
        <v>3.1649999999999998E-2</v>
      </c>
      <c r="M13" s="192">
        <f>L13*J13</f>
        <v>49943.225249999996</v>
      </c>
      <c r="N13" s="225">
        <f t="shared" ref="N13:N21" si="2">M13/$M$21</f>
        <v>2.2801009697260458E-2</v>
      </c>
      <c r="O13" s="221"/>
      <c r="P13" s="221"/>
      <c r="Q13" s="229"/>
      <c r="R13" s="229"/>
      <c r="S13" s="229"/>
      <c r="T13" s="230"/>
      <c r="U13" s="164"/>
      <c r="V13" s="164"/>
      <c r="W13" s="164"/>
      <c r="X13" s="194"/>
      <c r="Y13" s="195"/>
      <c r="Z13" s="194"/>
      <c r="AA13" s="196"/>
      <c r="AB13" s="197"/>
      <c r="AC13" s="164"/>
      <c r="AD13" s="164"/>
      <c r="AE13" s="164"/>
      <c r="AF13" s="164"/>
      <c r="AG13" s="164"/>
      <c r="AH13" s="164"/>
      <c r="AI13" s="164"/>
      <c r="AJ13" s="198"/>
    </row>
    <row r="14" spans="1:36" ht="15.75" customHeight="1" thickTop="1" thickBot="1" x14ac:dyDescent="0.25">
      <c r="A14" s="164"/>
      <c r="B14" s="189" t="s">
        <v>23</v>
      </c>
      <c r="C14" s="51">
        <f>SUMIFS(Data!$J:$J,Data!$H:$H,B14,Data!$E:$E,$C$7,Data!$F:$F,$C$8)</f>
        <v>44703.752484662575</v>
      </c>
      <c r="D14" s="199" t="s">
        <v>24</v>
      </c>
      <c r="E14" s="191">
        <f>SUMIFS('Input keuzevariabelen'!$P:$P,'Input keuzevariabelen'!$M:$M,B14)</f>
        <v>3.6299999999999999E-2</v>
      </c>
      <c r="F14" s="192">
        <f t="shared" si="0"/>
        <v>1622.7462151932514</v>
      </c>
      <c r="G14" s="225">
        <f t="shared" si="1"/>
        <v>3.6718543134607105E-3</v>
      </c>
      <c r="H14" s="164"/>
      <c r="I14" s="189" t="s">
        <v>23</v>
      </c>
      <c r="J14" s="60">
        <f>SUMIFS(Data!$J:$J,Data!$H:$H,I14,Data!$E:$E,$J$8,Data!$C:$C,$J$7,Data!$F:$F,$J$9)</f>
        <v>30360</v>
      </c>
      <c r="K14" s="199" t="s">
        <v>24</v>
      </c>
      <c r="L14" s="191">
        <v>3.5448E-2</v>
      </c>
      <c r="M14" s="192">
        <f t="shared" ref="M14:M20" si="3">L14*J14</f>
        <v>1076.20128</v>
      </c>
      <c r="N14" s="225">
        <f t="shared" si="2"/>
        <v>4.9132741625420196E-4</v>
      </c>
      <c r="O14" s="221"/>
      <c r="P14" s="221"/>
      <c r="Q14" s="231"/>
      <c r="R14" s="231"/>
      <c r="S14" s="231"/>
      <c r="T14" s="232"/>
      <c r="U14" s="164"/>
      <c r="V14" s="164"/>
      <c r="W14" s="164"/>
      <c r="X14" s="164"/>
      <c r="Y14" s="195"/>
      <c r="Z14" s="194"/>
      <c r="AA14" s="196"/>
      <c r="AB14" s="197"/>
      <c r="AC14" s="164"/>
      <c r="AD14" s="164"/>
      <c r="AE14" s="164"/>
      <c r="AF14" s="164"/>
      <c r="AG14" s="164"/>
      <c r="AH14" s="164"/>
      <c r="AI14" s="164"/>
      <c r="AJ14" s="198"/>
    </row>
    <row r="15" spans="1:36" ht="15.75" customHeight="1" thickTop="1" thickBot="1" x14ac:dyDescent="0.25">
      <c r="A15" s="164"/>
      <c r="B15" s="189" t="s">
        <v>25</v>
      </c>
      <c r="C15" s="51">
        <f>SUMIFS(Data!$J:$J,Data!$H:$H,B15,Data!$E:$E,$C$7,Data!$F:$F,$C$8)</f>
        <v>31359.660478764479</v>
      </c>
      <c r="D15" s="199" t="s">
        <v>24</v>
      </c>
      <c r="E15" s="191">
        <f>SUMIFS('Input keuzevariabelen'!$P:$P,'Input keuzevariabelen'!$M:$M,B15)</f>
        <v>3.1E-2</v>
      </c>
      <c r="F15" s="192">
        <f t="shared" si="0"/>
        <v>972.14947484169886</v>
      </c>
      <c r="G15" s="225">
        <f t="shared" si="1"/>
        <v>2.1997224267757461E-3</v>
      </c>
      <c r="H15" s="164"/>
      <c r="I15" s="189" t="s">
        <v>25</v>
      </c>
      <c r="J15" s="60">
        <f>SUMIFS(Data!$J:$J,Data!$H:$H,I15,Data!$E:$E,$J$8,Data!$C:$C,$J$7,Data!$F:$F,$J$9)</f>
        <v>30910</v>
      </c>
      <c r="K15" s="199" t="s">
        <v>24</v>
      </c>
      <c r="L15" s="191">
        <v>3.5448E-2</v>
      </c>
      <c r="M15" s="192">
        <f t="shared" si="3"/>
        <v>1095.69768</v>
      </c>
      <c r="N15" s="225">
        <f t="shared" si="2"/>
        <v>5.0022827524431434E-4</v>
      </c>
      <c r="O15" s="221"/>
      <c r="P15" s="221"/>
      <c r="Q15" s="231"/>
      <c r="R15" s="231"/>
      <c r="S15" s="231"/>
      <c r="T15" s="232"/>
      <c r="U15" s="164"/>
      <c r="V15" s="164"/>
      <c r="W15" s="164"/>
      <c r="X15" s="194"/>
      <c r="Y15" s="195"/>
      <c r="Z15" s="194"/>
      <c r="AA15" s="196"/>
      <c r="AB15" s="197"/>
      <c r="AC15" s="164"/>
      <c r="AD15" s="164"/>
      <c r="AE15" s="164"/>
      <c r="AF15" s="164"/>
      <c r="AG15" s="164"/>
      <c r="AH15" s="164"/>
      <c r="AI15" s="164"/>
      <c r="AJ15" s="198"/>
    </row>
    <row r="16" spans="1:36" ht="15.75" customHeight="1" thickTop="1" thickBot="1" x14ac:dyDescent="0.25">
      <c r="A16" s="164"/>
      <c r="B16" s="189" t="s">
        <v>26</v>
      </c>
      <c r="C16" s="51">
        <f>SUMIFS(Data!$J:$J,Data!$H:$H,B16,Data!$E:$E,$C$7,Data!$F:$F,$C$8)</f>
        <v>0</v>
      </c>
      <c r="D16" s="199" t="s">
        <v>24</v>
      </c>
      <c r="E16" s="191">
        <f>SUMIFS('Input keuzevariabelen'!$P:$P,'Input keuzevariabelen'!$M:$M,B16)</f>
        <v>2.3300000000000001E-2</v>
      </c>
      <c r="F16" s="192">
        <f t="shared" si="0"/>
        <v>0</v>
      </c>
      <c r="G16" s="225">
        <f t="shared" si="1"/>
        <v>0</v>
      </c>
      <c r="H16" s="164"/>
      <c r="I16" s="189" t="s">
        <v>26</v>
      </c>
      <c r="J16" s="60">
        <f>SUMIFS(Data!$J:$J,Data!$H:$H,I16,Data!$E:$E,$J$8,Data!$C:$C,$J$7,Data!$F:$F,$J$9)</f>
        <v>0</v>
      </c>
      <c r="K16" s="199" t="s">
        <v>24</v>
      </c>
      <c r="L16" s="191">
        <v>3.2916000000000001E-2</v>
      </c>
      <c r="M16" s="192">
        <f t="shared" si="3"/>
        <v>0</v>
      </c>
      <c r="N16" s="225">
        <f t="shared" si="2"/>
        <v>0</v>
      </c>
      <c r="O16" s="221"/>
      <c r="P16" s="221"/>
      <c r="Q16" s="233"/>
      <c r="R16" s="233"/>
      <c r="S16" s="233"/>
      <c r="T16" s="234"/>
      <c r="U16" s="164"/>
      <c r="V16" s="164"/>
      <c r="W16" s="164"/>
      <c r="X16" s="194"/>
      <c r="Y16" s="195"/>
      <c r="Z16" s="194"/>
      <c r="AA16" s="196"/>
      <c r="AB16" s="197"/>
      <c r="AC16" s="164"/>
      <c r="AD16" s="164"/>
      <c r="AE16" s="164"/>
      <c r="AF16" s="164"/>
      <c r="AG16" s="164"/>
      <c r="AH16" s="164"/>
      <c r="AI16" s="164"/>
      <c r="AJ16" s="198"/>
    </row>
    <row r="17" spans="1:36" ht="15.75" customHeight="1" thickTop="1" thickBot="1" x14ac:dyDescent="0.25">
      <c r="A17" s="164"/>
      <c r="B17" s="201" t="s">
        <v>29</v>
      </c>
      <c r="C17" s="51">
        <f>SUMIFS(Data!$J:$J,Data!$H:$H,B17,Data!$E:$E,$C$7,Data!$F:$F,$C$8)</f>
        <v>55475.295532799995</v>
      </c>
      <c r="D17" s="199" t="s">
        <v>24</v>
      </c>
      <c r="E17" s="191">
        <f>SUMIFS('Input keuzevariabelen'!$P:$P,'Input keuzevariabelen'!$M:$M,B17)</f>
        <v>5.2199999999999998E-3</v>
      </c>
      <c r="F17" s="192">
        <f t="shared" si="0"/>
        <v>289.58104268121599</v>
      </c>
      <c r="G17" s="225">
        <f t="shared" si="1"/>
        <v>6.5524688377649096E-4</v>
      </c>
      <c r="H17" s="164"/>
      <c r="I17" s="201" t="s">
        <v>29</v>
      </c>
      <c r="J17" s="60">
        <f>SUMIFS(Data!$J:$J,Data!$H:$H,I17,Data!$E:$E,$J$8,Data!$C:$C,$J$7,Data!$F:$F,$J$9)</f>
        <v>0</v>
      </c>
      <c r="K17" s="199" t="s">
        <v>24</v>
      </c>
      <c r="L17" s="191">
        <v>3.4000000000000002E-2</v>
      </c>
      <c r="M17" s="192">
        <f t="shared" si="3"/>
        <v>0</v>
      </c>
      <c r="N17" s="225">
        <f t="shared" si="2"/>
        <v>0</v>
      </c>
      <c r="O17" s="221"/>
      <c r="P17" s="221"/>
      <c r="Q17" s="233"/>
      <c r="R17" s="233"/>
      <c r="S17" s="233"/>
      <c r="T17" s="234"/>
      <c r="U17" s="164"/>
      <c r="V17" s="164"/>
      <c r="W17" s="164"/>
      <c r="X17" s="194"/>
      <c r="Y17" s="195"/>
      <c r="Z17" s="194"/>
      <c r="AA17" s="196"/>
      <c r="AB17" s="197"/>
      <c r="AC17" s="164"/>
      <c r="AD17" s="164"/>
      <c r="AE17" s="164"/>
      <c r="AF17" s="164"/>
      <c r="AG17" s="164"/>
      <c r="AH17" s="164"/>
      <c r="AI17" s="164"/>
      <c r="AJ17" s="198"/>
    </row>
    <row r="18" spans="1:36" ht="15.75" customHeight="1" thickTop="1" thickBot="1" x14ac:dyDescent="0.25">
      <c r="A18" s="164"/>
      <c r="B18" s="201" t="s">
        <v>31</v>
      </c>
      <c r="C18" s="51">
        <f>SUMIFS(Data!$J:$J,Data!$H:$H,B18,Data!$E:$E,$C$7,Data!$F:$F,$C$8)</f>
        <v>74228121.933119193</v>
      </c>
      <c r="D18" s="199" t="s">
        <v>24</v>
      </c>
      <c r="E18" s="191">
        <f>SUMIFS('Input keuzevariabelen'!$P:$P,'Input keuzevariabelen'!$M:$M,B18)</f>
        <v>5.2199999999999998E-3</v>
      </c>
      <c r="F18" s="192">
        <f t="shared" si="0"/>
        <v>387470.79649088217</v>
      </c>
      <c r="G18" s="225">
        <f t="shared" si="1"/>
        <v>0.87674603836045328</v>
      </c>
      <c r="H18" s="164"/>
      <c r="I18" s="201" t="s">
        <v>31</v>
      </c>
      <c r="J18" s="60">
        <f>SUMIFS(Data!$J:$J,Data!$H:$H,I18,Data!$E:$E,$J$8,Data!$C:$C,$J$7,Data!$F:$F,$J$9)</f>
        <v>71115996</v>
      </c>
      <c r="K18" s="199" t="s">
        <v>24</v>
      </c>
      <c r="L18" s="191">
        <v>3.0067499999999997E-2</v>
      </c>
      <c r="M18" s="192">
        <f t="shared" si="3"/>
        <v>2138280.2097299998</v>
      </c>
      <c r="N18" s="225">
        <f t="shared" si="2"/>
        <v>0.97620743461124104</v>
      </c>
      <c r="O18" s="221"/>
      <c r="P18" s="221"/>
      <c r="Q18" s="233"/>
      <c r="R18" s="233"/>
      <c r="S18" s="233"/>
      <c r="T18" s="234"/>
      <c r="U18" s="164"/>
      <c r="V18" s="164"/>
      <c r="W18" s="164"/>
      <c r="X18" s="194"/>
      <c r="Y18" s="195"/>
      <c r="Z18" s="194"/>
      <c r="AA18" s="196"/>
      <c r="AB18" s="197"/>
      <c r="AC18" s="164"/>
      <c r="AD18" s="164"/>
      <c r="AE18" s="164"/>
      <c r="AF18" s="164"/>
      <c r="AG18" s="164"/>
      <c r="AH18" s="164"/>
      <c r="AI18" s="164"/>
      <c r="AJ18" s="198"/>
    </row>
    <row r="19" spans="1:36" ht="16.5" thickTop="1" thickBot="1" x14ac:dyDescent="0.25">
      <c r="A19" s="200"/>
      <c r="B19" s="201" t="s">
        <v>32</v>
      </c>
      <c r="C19" s="51">
        <f>SUMIFS(Data!$J:$J,Data!$H:$H,B19,Data!$E:$E,$C$7,Data!$F:$F,$C$8)</f>
        <v>2460.567</v>
      </c>
      <c r="D19" s="199" t="s">
        <v>101</v>
      </c>
      <c r="E19" s="191">
        <f>SUMIFS('Input keuzevariabelen'!$P:$P,'Input keuzevariabelen'!$M:$M,B19)</f>
        <v>5.2199999999999998E-3</v>
      </c>
      <c r="F19" s="192">
        <f t="shared" si="0"/>
        <v>12.84415974</v>
      </c>
      <c r="G19" s="225">
        <f t="shared" si="1"/>
        <v>2.9063006219047588E-5</v>
      </c>
      <c r="H19" s="164"/>
      <c r="I19" s="201" t="s">
        <v>32</v>
      </c>
      <c r="J19" s="60">
        <f>SUMIFS(Data!$J:$J,Data!$H:$H,I19,Data!$E:$E,$J$8,Data!$C:$C,$J$7,Data!$F:$F,$J$9)</f>
        <v>0</v>
      </c>
      <c r="K19" s="199" t="s">
        <v>101</v>
      </c>
      <c r="L19" s="191">
        <v>3.7999999999999999E-2</v>
      </c>
      <c r="M19" s="192">
        <f t="shared" si="3"/>
        <v>0</v>
      </c>
      <c r="N19" s="225">
        <f t="shared" si="2"/>
        <v>0</v>
      </c>
      <c r="O19" s="221"/>
      <c r="P19" s="221"/>
      <c r="Q19" s="235"/>
      <c r="R19" s="235"/>
      <c r="S19" s="235"/>
      <c r="T19" s="236"/>
      <c r="U19" s="164"/>
      <c r="V19" s="164"/>
      <c r="W19" s="200"/>
      <c r="X19" s="194"/>
      <c r="Y19" s="195"/>
      <c r="Z19" s="194"/>
      <c r="AA19" s="196"/>
      <c r="AB19" s="197"/>
      <c r="AC19" s="164"/>
      <c r="AD19" s="164"/>
      <c r="AE19" s="164"/>
      <c r="AF19" s="164"/>
      <c r="AG19" s="164"/>
      <c r="AH19" s="164"/>
      <c r="AI19" s="164"/>
      <c r="AJ19" s="198"/>
    </row>
    <row r="20" spans="1:36" ht="15.75" customHeight="1" thickTop="1" thickBot="1" x14ac:dyDescent="0.25">
      <c r="A20" s="164"/>
      <c r="B20" s="201" t="s">
        <v>35</v>
      </c>
      <c r="C20" s="51">
        <f>SUMIFS(Data!$J:$J,Data!$H:$H,B20,Data!$E:$E,$C$7,Data!$F:$F,$C$8)</f>
        <v>0</v>
      </c>
      <c r="D20" s="199" t="s">
        <v>30</v>
      </c>
      <c r="E20" s="191">
        <f>SUMIFS('Input keuzevariabelen'!$P:$P,'Input keuzevariabelen'!$M:$M,B20)</f>
        <v>1.1100000000000001</v>
      </c>
      <c r="F20" s="192">
        <f t="shared" si="0"/>
        <v>0</v>
      </c>
      <c r="G20" s="225">
        <f t="shared" si="1"/>
        <v>0</v>
      </c>
      <c r="H20" s="164"/>
      <c r="I20" s="201" t="s">
        <v>35</v>
      </c>
      <c r="J20" s="60">
        <f>SUMIFS(Data!$J:$J,Data!$H:$H,I20,Data!$E:$E,$J$8,Data!$C:$C,$J$7,Data!$F:$F,$J$9)</f>
        <v>0</v>
      </c>
      <c r="K20" s="199" t="s">
        <v>30</v>
      </c>
      <c r="L20" s="191">
        <v>3.5999999999999999E-3</v>
      </c>
      <c r="M20" s="192">
        <f t="shared" si="3"/>
        <v>0</v>
      </c>
      <c r="N20" s="225">
        <f t="shared" si="2"/>
        <v>0</v>
      </c>
      <c r="O20" s="221"/>
      <c r="P20" s="221"/>
      <c r="Q20" s="231"/>
      <c r="R20" s="231"/>
      <c r="S20" s="231"/>
      <c r="T20" s="232"/>
      <c r="U20" s="164"/>
      <c r="V20" s="164"/>
      <c r="W20" s="164"/>
      <c r="X20" s="164"/>
      <c r="Y20" s="164"/>
      <c r="Z20" s="164"/>
      <c r="AA20" s="202"/>
      <c r="AB20" s="164"/>
      <c r="AC20" s="164"/>
      <c r="AD20" s="164"/>
      <c r="AE20" s="164"/>
      <c r="AF20" s="164"/>
      <c r="AG20" s="164"/>
      <c r="AH20" s="164"/>
      <c r="AI20" s="164"/>
      <c r="AJ20" s="164"/>
    </row>
    <row r="21" spans="1:36" ht="15.75" customHeight="1" thickTop="1" thickBot="1" x14ac:dyDescent="0.25">
      <c r="A21" s="164"/>
      <c r="B21" s="319" t="s">
        <v>102</v>
      </c>
      <c r="C21" s="320"/>
      <c r="D21" s="320"/>
      <c r="E21" s="320"/>
      <c r="F21" s="320">
        <f>SUM(F13:F20)</f>
        <v>441941.88457978837</v>
      </c>
      <c r="G21" s="225">
        <f t="shared" si="1"/>
        <v>1</v>
      </c>
      <c r="H21" s="164"/>
      <c r="I21" s="319" t="s">
        <v>70</v>
      </c>
      <c r="J21" s="320"/>
      <c r="K21" s="320"/>
      <c r="L21" s="320"/>
      <c r="M21" s="320">
        <f>SUM(M13:M20)</f>
        <v>2190395.3339399998</v>
      </c>
      <c r="N21" s="225">
        <f t="shared" si="2"/>
        <v>1</v>
      </c>
      <c r="O21" s="221"/>
      <c r="P21" s="221"/>
      <c r="Q21" s="237"/>
      <c r="R21" s="237"/>
      <c r="S21" s="237"/>
      <c r="T21" s="238"/>
      <c r="U21" s="164"/>
      <c r="V21" s="164"/>
      <c r="W21" s="164"/>
      <c r="X21" s="167"/>
      <c r="Y21" s="203"/>
      <c r="Z21" s="194"/>
      <c r="AA21" s="204"/>
      <c r="AB21" s="197"/>
      <c r="AC21" s="164"/>
      <c r="AD21" s="164"/>
      <c r="AE21" s="164"/>
      <c r="AF21" s="164"/>
      <c r="AG21" s="164"/>
      <c r="AH21" s="164"/>
      <c r="AI21" s="164"/>
      <c r="AJ21" s="205"/>
    </row>
    <row r="22" spans="1:36" ht="15.75" customHeight="1" thickTop="1" thickBot="1" x14ac:dyDescent="0.25">
      <c r="A22" s="164"/>
      <c r="B22" s="164"/>
      <c r="C22" s="164"/>
      <c r="D22" s="164"/>
      <c r="E22" s="164"/>
      <c r="F22" s="164"/>
      <c r="G22" s="164"/>
      <c r="H22" s="164"/>
      <c r="I22" s="167"/>
      <c r="J22" s="203"/>
      <c r="K22" s="204"/>
      <c r="L22" s="204"/>
      <c r="M22" s="204"/>
      <c r="N22" s="221"/>
      <c r="O22" s="221"/>
      <c r="P22" s="221"/>
      <c r="Q22" s="204"/>
      <c r="R22" s="197"/>
      <c r="S22" s="164"/>
      <c r="T22" s="164"/>
      <c r="U22" s="164"/>
      <c r="V22" s="164"/>
      <c r="W22" s="164"/>
      <c r="X22" s="167"/>
      <c r="Y22" s="203"/>
      <c r="Z22" s="194"/>
      <c r="AA22" s="204"/>
      <c r="AB22" s="197"/>
      <c r="AC22" s="164"/>
      <c r="AD22" s="164"/>
      <c r="AE22" s="164"/>
      <c r="AF22" s="164"/>
      <c r="AG22" s="164"/>
      <c r="AH22" s="164"/>
      <c r="AI22" s="164"/>
      <c r="AJ22" s="164"/>
    </row>
    <row r="23" spans="1:36" ht="15.75" customHeight="1" thickTop="1" thickBot="1" x14ac:dyDescent="0.25">
      <c r="A23" s="164"/>
      <c r="B23" s="164"/>
      <c r="C23" s="164"/>
      <c r="D23" s="164"/>
      <c r="E23" s="164"/>
      <c r="F23" s="164"/>
      <c r="G23" s="164"/>
      <c r="H23" s="164"/>
      <c r="I23" s="167"/>
      <c r="J23" s="203"/>
      <c r="K23" s="204"/>
      <c r="L23" s="204"/>
      <c r="M23" s="204"/>
      <c r="N23" s="221"/>
      <c r="O23" s="221"/>
      <c r="P23" s="221"/>
      <c r="Q23" s="204"/>
      <c r="R23" s="197"/>
      <c r="S23" s="164"/>
      <c r="T23" s="164"/>
      <c r="U23" s="164"/>
      <c r="V23" s="164"/>
      <c r="W23" s="164"/>
      <c r="X23" s="167"/>
      <c r="Y23" s="203"/>
      <c r="Z23" s="194"/>
      <c r="AA23" s="204"/>
      <c r="AB23" s="197"/>
      <c r="AC23" s="164"/>
      <c r="AD23" s="164"/>
      <c r="AE23" s="164"/>
      <c r="AF23" s="164"/>
      <c r="AG23" s="164"/>
      <c r="AH23" s="164"/>
      <c r="AI23" s="164"/>
      <c r="AJ23" s="164"/>
    </row>
    <row r="24" spans="1:36" ht="15.75" customHeight="1" thickTop="1" thickBot="1" x14ac:dyDescent="0.25">
      <c r="A24" s="164"/>
      <c r="B24" s="164"/>
      <c r="C24" s="164"/>
      <c r="D24" s="164"/>
      <c r="E24" s="164"/>
      <c r="F24" s="164"/>
      <c r="G24" s="164"/>
      <c r="H24" s="164"/>
      <c r="I24" s="167"/>
      <c r="J24" s="203"/>
      <c r="K24" s="204"/>
      <c r="L24" s="204"/>
      <c r="M24" s="204"/>
      <c r="N24" s="221"/>
      <c r="O24" s="221"/>
      <c r="P24" s="221"/>
      <c r="Q24" s="204"/>
      <c r="R24" s="197"/>
      <c r="S24" s="164"/>
      <c r="T24" s="164"/>
      <c r="U24" s="164"/>
      <c r="V24" s="164"/>
      <c r="W24" s="164"/>
      <c r="X24" s="167"/>
      <c r="Y24" s="203"/>
      <c r="Z24" s="194"/>
      <c r="AA24" s="204"/>
      <c r="AB24" s="197"/>
      <c r="AC24" s="164"/>
      <c r="AD24" s="164"/>
      <c r="AE24" s="164"/>
      <c r="AF24" s="164"/>
      <c r="AG24" s="164"/>
      <c r="AH24" s="164"/>
      <c r="AI24" s="164"/>
      <c r="AJ24" s="164"/>
    </row>
    <row r="25" spans="1:36" ht="15.75" customHeight="1" thickTop="1" x14ac:dyDescent="0.2">
      <c r="A25" s="164"/>
      <c r="B25" s="164"/>
      <c r="C25" s="164"/>
      <c r="D25" s="164"/>
      <c r="E25" s="164"/>
      <c r="F25" s="164"/>
      <c r="G25" s="164"/>
      <c r="H25" s="164"/>
      <c r="I25" s="167"/>
      <c r="J25" s="203"/>
      <c r="K25" s="204"/>
      <c r="L25" s="204"/>
      <c r="M25" s="204"/>
      <c r="N25" s="221"/>
      <c r="O25" s="221"/>
      <c r="P25" s="221"/>
      <c r="Q25" s="204"/>
      <c r="R25" s="197"/>
      <c r="S25" s="164"/>
      <c r="T25" s="164"/>
      <c r="U25" s="164"/>
      <c r="V25" s="164"/>
      <c r="W25" s="164"/>
      <c r="X25" s="167"/>
      <c r="Y25" s="203"/>
      <c r="Z25" s="194"/>
      <c r="AA25" s="204"/>
      <c r="AB25" s="197"/>
      <c r="AC25" s="164"/>
      <c r="AD25" s="164"/>
      <c r="AE25" s="164"/>
      <c r="AF25" s="164"/>
      <c r="AG25" s="164"/>
      <c r="AH25" s="164"/>
      <c r="AI25" s="164"/>
      <c r="AJ25" s="164"/>
    </row>
    <row r="26" spans="1:36" ht="15.75" customHeight="1" x14ac:dyDescent="0.2">
      <c r="A26" s="164"/>
      <c r="B26" s="365" t="s">
        <v>103</v>
      </c>
      <c r="C26" s="366"/>
      <c r="D26" s="164"/>
      <c r="E26" s="164"/>
      <c r="F26" s="164"/>
      <c r="G26" s="164"/>
      <c r="H26" s="164"/>
      <c r="I26" s="365" t="s">
        <v>103</v>
      </c>
      <c r="J26" s="366"/>
      <c r="K26" s="245"/>
      <c r="L26" s="245"/>
      <c r="M26" s="204"/>
      <c r="N26" s="197"/>
      <c r="O26" s="164"/>
      <c r="P26" s="164"/>
      <c r="Q26" s="164"/>
      <c r="R26" s="164"/>
      <c r="S26" s="164"/>
      <c r="T26" s="167"/>
      <c r="U26" s="203"/>
      <c r="V26" s="194"/>
      <c r="W26" s="204"/>
      <c r="X26" s="197"/>
      <c r="Y26" s="164"/>
      <c r="Z26" s="164"/>
      <c r="AA26" s="164"/>
      <c r="AB26" s="164"/>
      <c r="AC26" s="164"/>
      <c r="AD26" s="164"/>
      <c r="AE26" s="164"/>
      <c r="AF26" s="164"/>
    </row>
    <row r="27" spans="1:36" ht="18.95" customHeight="1" x14ac:dyDescent="0.2">
      <c r="A27" s="164"/>
      <c r="B27" s="206" t="s">
        <v>54</v>
      </c>
      <c r="C27" s="207" t="s">
        <v>104</v>
      </c>
      <c r="D27" s="164"/>
      <c r="E27" s="164"/>
      <c r="F27" s="164"/>
      <c r="G27" s="164"/>
      <c r="H27" s="164"/>
      <c r="I27" s="206" t="s">
        <v>54</v>
      </c>
      <c r="J27" s="244" t="s">
        <v>104</v>
      </c>
      <c r="K27" s="245"/>
      <c r="L27" s="245"/>
      <c r="M27" s="204"/>
      <c r="N27" s="197"/>
      <c r="O27" s="164"/>
      <c r="P27" s="164"/>
      <c r="Q27" s="164"/>
      <c r="R27" s="164"/>
      <c r="S27" s="164"/>
      <c r="T27" s="167"/>
      <c r="U27" s="203"/>
      <c r="V27" s="194"/>
      <c r="W27" s="204"/>
      <c r="X27" s="197"/>
      <c r="Y27" s="164"/>
      <c r="Z27" s="164"/>
      <c r="AA27" s="164"/>
      <c r="AB27" s="164"/>
      <c r="AC27" s="164"/>
      <c r="AD27" s="164"/>
      <c r="AE27" s="164"/>
      <c r="AF27" s="164"/>
    </row>
    <row r="28" spans="1:36" ht="15.75" customHeight="1" x14ac:dyDescent="0.2">
      <c r="A28" s="164"/>
      <c r="B28" s="163" t="s">
        <v>21</v>
      </c>
      <c r="C28" s="208">
        <f>F13</f>
        <v>51573.767196449997</v>
      </c>
      <c r="D28" s="164"/>
      <c r="E28" s="164"/>
      <c r="F28" s="164"/>
      <c r="G28" s="164"/>
      <c r="H28" s="164"/>
      <c r="I28" s="163" t="s">
        <v>21</v>
      </c>
      <c r="J28" s="208">
        <f>M13</f>
        <v>49943.225249999996</v>
      </c>
      <c r="K28" s="245"/>
      <c r="L28" s="245"/>
      <c r="M28" s="204"/>
      <c r="N28" s="197"/>
      <c r="O28" s="164"/>
      <c r="P28" s="164"/>
      <c r="Q28" s="164"/>
      <c r="R28" s="164"/>
      <c r="S28" s="164"/>
      <c r="T28" s="167"/>
      <c r="U28" s="203"/>
      <c r="V28" s="194"/>
      <c r="W28" s="204"/>
      <c r="X28" s="197"/>
      <c r="Y28" s="164"/>
      <c r="Z28" s="164"/>
      <c r="AA28" s="164"/>
      <c r="AB28" s="164"/>
      <c r="AC28" s="164"/>
      <c r="AD28" s="164"/>
      <c r="AE28" s="164"/>
      <c r="AF28" s="164"/>
    </row>
    <row r="29" spans="1:36" ht="15.75" customHeight="1" x14ac:dyDescent="0.2">
      <c r="A29" s="164"/>
      <c r="B29" s="163" t="s">
        <v>57</v>
      </c>
      <c r="C29" s="208">
        <f>F14+F15</f>
        <v>2594.8956900349503</v>
      </c>
      <c r="D29" s="164"/>
      <c r="E29" s="164"/>
      <c r="F29" s="164"/>
      <c r="G29" s="164"/>
      <c r="H29" s="164"/>
      <c r="I29" s="163" t="s">
        <v>57</v>
      </c>
      <c r="J29" s="208">
        <f>M14+M15</f>
        <v>2171.89896</v>
      </c>
      <c r="K29" s="204"/>
      <c r="L29" s="204"/>
      <c r="M29" s="204"/>
      <c r="N29" s="197"/>
      <c r="O29" s="164"/>
      <c r="P29" s="164"/>
      <c r="Q29" s="164"/>
      <c r="R29" s="164"/>
      <c r="S29" s="164"/>
      <c r="T29" s="167"/>
      <c r="U29" s="203"/>
      <c r="V29" s="194"/>
      <c r="W29" s="204"/>
      <c r="X29" s="197"/>
      <c r="Y29" s="164"/>
      <c r="Z29" s="164"/>
      <c r="AA29" s="164"/>
      <c r="AB29" s="164"/>
      <c r="AC29" s="164"/>
      <c r="AD29" s="164"/>
      <c r="AE29" s="164"/>
      <c r="AF29" s="164"/>
    </row>
    <row r="30" spans="1:36" ht="15.75" customHeight="1" x14ac:dyDescent="0.2">
      <c r="A30" s="164"/>
      <c r="B30" s="163" t="s">
        <v>58</v>
      </c>
      <c r="C30" s="208">
        <f>F18+F17</f>
        <v>387760.37753356341</v>
      </c>
      <c r="D30" s="164"/>
      <c r="E30" s="164"/>
      <c r="F30" s="164"/>
      <c r="G30" s="164"/>
      <c r="H30" s="164"/>
      <c r="I30" s="163" t="s">
        <v>58</v>
      </c>
      <c r="J30" s="208">
        <f>M18+M17</f>
        <v>2138280.2097299998</v>
      </c>
      <c r="K30" s="204"/>
      <c r="L30" s="204"/>
      <c r="M30" s="204"/>
      <c r="N30" s="197"/>
      <c r="O30" s="164"/>
      <c r="P30" s="164"/>
      <c r="Q30" s="164"/>
      <c r="R30" s="164"/>
      <c r="S30" s="164"/>
      <c r="T30" s="167"/>
      <c r="U30" s="203"/>
      <c r="V30" s="194"/>
      <c r="W30" s="204"/>
      <c r="X30" s="197"/>
      <c r="Y30" s="164"/>
      <c r="Z30" s="164"/>
      <c r="AA30" s="164"/>
      <c r="AB30" s="164"/>
      <c r="AC30" s="164"/>
      <c r="AD30" s="164"/>
      <c r="AE30" s="164"/>
      <c r="AF30" s="164"/>
    </row>
    <row r="31" spans="1:36" ht="15.75" customHeight="1" x14ac:dyDescent="0.2">
      <c r="A31" s="164"/>
      <c r="B31" s="163" t="s">
        <v>59</v>
      </c>
      <c r="C31" s="208">
        <f>F19</f>
        <v>12.84415974</v>
      </c>
      <c r="D31" s="164"/>
      <c r="E31" s="164"/>
      <c r="F31" s="164"/>
      <c r="G31" s="164"/>
      <c r="H31" s="164"/>
      <c r="I31" s="163" t="s">
        <v>59</v>
      </c>
      <c r="J31" s="208">
        <f>M19</f>
        <v>0</v>
      </c>
      <c r="K31" s="204"/>
      <c r="L31" s="204"/>
      <c r="M31" s="204"/>
      <c r="N31" s="197"/>
      <c r="O31" s="164"/>
      <c r="P31" s="164"/>
      <c r="Q31" s="164"/>
      <c r="R31" s="164"/>
      <c r="S31" s="164"/>
      <c r="T31" s="167"/>
      <c r="U31" s="203"/>
      <c r="V31" s="194"/>
      <c r="W31" s="204"/>
      <c r="X31" s="197"/>
      <c r="Y31" s="164"/>
      <c r="Z31" s="164"/>
      <c r="AA31" s="164"/>
      <c r="AB31" s="164"/>
      <c r="AC31" s="164"/>
      <c r="AD31" s="164"/>
      <c r="AE31" s="164"/>
      <c r="AF31" s="164"/>
    </row>
    <row r="32" spans="1:36" ht="15.75" customHeight="1" x14ac:dyDescent="0.2">
      <c r="A32" s="164"/>
      <c r="B32" s="163" t="s">
        <v>26</v>
      </c>
      <c r="C32" s="208">
        <f>F16</f>
        <v>0</v>
      </c>
      <c r="D32" s="164"/>
      <c r="E32" s="164"/>
      <c r="F32" s="164"/>
      <c r="G32" s="164"/>
      <c r="H32" s="164"/>
      <c r="I32" s="163" t="s">
        <v>26</v>
      </c>
      <c r="J32" s="208">
        <f>M16</f>
        <v>0</v>
      </c>
      <c r="K32" s="204"/>
      <c r="L32" s="204"/>
      <c r="M32" s="204"/>
      <c r="N32" s="197"/>
      <c r="O32" s="164"/>
      <c r="P32" s="164"/>
      <c r="Q32" s="164"/>
      <c r="R32" s="164"/>
      <c r="S32" s="164"/>
      <c r="T32" s="167"/>
      <c r="U32" s="203"/>
      <c r="V32" s="194"/>
      <c r="W32" s="204"/>
      <c r="X32" s="197"/>
      <c r="Y32" s="164"/>
      <c r="Z32" s="164"/>
      <c r="AA32" s="164"/>
      <c r="AB32" s="164"/>
      <c r="AC32" s="164"/>
      <c r="AD32" s="164"/>
      <c r="AE32" s="164"/>
      <c r="AF32" s="164"/>
    </row>
    <row r="33" spans="1:36" ht="15.75" customHeight="1" x14ac:dyDescent="0.2">
      <c r="A33" s="164"/>
      <c r="B33" s="163"/>
      <c r="C33" s="208"/>
      <c r="D33" s="164"/>
      <c r="E33" s="164"/>
      <c r="F33" s="164"/>
      <c r="G33" s="164"/>
      <c r="H33" s="164"/>
      <c r="I33" s="163"/>
      <c r="J33" s="208"/>
      <c r="K33" s="204"/>
      <c r="L33" s="204"/>
      <c r="M33" s="204"/>
      <c r="N33" s="197"/>
      <c r="O33" s="164"/>
      <c r="P33" s="164"/>
      <c r="Q33" s="164"/>
      <c r="R33" s="164"/>
      <c r="S33" s="164"/>
      <c r="T33" s="167"/>
      <c r="U33" s="203"/>
      <c r="V33" s="194"/>
      <c r="W33" s="204"/>
      <c r="X33" s="197"/>
      <c r="Y33" s="164"/>
      <c r="Z33" s="164"/>
      <c r="AA33" s="164"/>
      <c r="AB33" s="164"/>
      <c r="AC33" s="164"/>
      <c r="AD33" s="164"/>
      <c r="AE33" s="164"/>
      <c r="AF33" s="164"/>
    </row>
    <row r="34" spans="1:36" ht="15.75" customHeight="1" x14ac:dyDescent="0.2">
      <c r="A34" s="164"/>
      <c r="B34" s="164"/>
      <c r="C34" s="164"/>
      <c r="D34" s="164"/>
      <c r="E34" s="164"/>
      <c r="F34" s="164"/>
      <c r="G34" s="164"/>
      <c r="H34" s="164"/>
      <c r="I34" s="167"/>
      <c r="J34" s="203"/>
      <c r="K34" s="204"/>
      <c r="L34" s="204"/>
      <c r="M34" s="204"/>
      <c r="N34" s="204"/>
      <c r="O34" s="204"/>
      <c r="P34" s="204"/>
      <c r="Q34" s="204"/>
      <c r="R34" s="197"/>
      <c r="S34" s="164"/>
      <c r="T34" s="164"/>
      <c r="U34" s="164"/>
      <c r="V34" s="164"/>
      <c r="W34" s="164"/>
      <c r="X34" s="167"/>
      <c r="Y34" s="203"/>
      <c r="Z34" s="194"/>
      <c r="AA34" s="204"/>
      <c r="AB34" s="197"/>
      <c r="AC34" s="164"/>
      <c r="AD34" s="164"/>
      <c r="AE34" s="164"/>
      <c r="AF34" s="164"/>
      <c r="AG34" s="164"/>
      <c r="AH34" s="164"/>
      <c r="AI34" s="164"/>
      <c r="AJ34" s="164"/>
    </row>
    <row r="35" spans="1:36" ht="15.75" customHeight="1" x14ac:dyDescent="0.2">
      <c r="A35" s="164"/>
      <c r="B35" s="164"/>
      <c r="C35" s="164"/>
      <c r="D35" s="164"/>
      <c r="E35" s="164"/>
      <c r="F35" s="164"/>
      <c r="G35" s="164"/>
      <c r="H35" s="164"/>
      <c r="I35" s="167"/>
      <c r="J35" s="203"/>
      <c r="K35" s="204"/>
      <c r="L35" s="204"/>
      <c r="M35" s="204"/>
      <c r="N35" s="204"/>
      <c r="O35" s="204"/>
      <c r="P35" s="204"/>
      <c r="Q35" s="204"/>
      <c r="R35" s="197"/>
      <c r="S35" s="164"/>
      <c r="T35" s="164"/>
      <c r="U35" s="164"/>
      <c r="V35" s="164"/>
      <c r="W35" s="164"/>
      <c r="X35" s="167"/>
      <c r="Y35" s="203"/>
      <c r="Z35" s="194"/>
      <c r="AA35" s="204"/>
      <c r="AB35" s="197"/>
      <c r="AC35" s="164"/>
      <c r="AD35" s="164"/>
      <c r="AE35" s="164"/>
      <c r="AF35" s="164"/>
      <c r="AG35" s="164"/>
      <c r="AH35" s="164"/>
      <c r="AI35" s="164"/>
      <c r="AJ35" s="164"/>
    </row>
    <row r="36" spans="1:36" ht="15.75" customHeight="1" x14ac:dyDescent="0.2">
      <c r="A36" s="164"/>
      <c r="B36" s="164"/>
      <c r="C36" s="164"/>
      <c r="D36" s="164"/>
      <c r="E36" s="164"/>
      <c r="F36" s="164"/>
      <c r="G36" s="164"/>
      <c r="H36" s="164"/>
      <c r="I36" s="167"/>
      <c r="J36" s="203"/>
      <c r="K36" s="204"/>
      <c r="L36" s="204"/>
      <c r="M36" s="204"/>
      <c r="N36" s="204"/>
      <c r="O36" s="204"/>
      <c r="P36" s="204"/>
      <c r="Q36" s="204"/>
      <c r="R36" s="197"/>
      <c r="S36" s="164"/>
      <c r="T36" s="164"/>
      <c r="U36" s="164"/>
      <c r="V36" s="164"/>
      <c r="W36" s="164"/>
      <c r="X36" s="167"/>
      <c r="Y36" s="203"/>
      <c r="Z36" s="194"/>
      <c r="AA36" s="204"/>
      <c r="AB36" s="197"/>
      <c r="AC36" s="164"/>
      <c r="AD36" s="164"/>
      <c r="AE36" s="164"/>
      <c r="AF36" s="164"/>
      <c r="AG36" s="164"/>
      <c r="AH36" s="164"/>
      <c r="AI36" s="164"/>
      <c r="AJ36" s="164"/>
    </row>
    <row r="37" spans="1:36" ht="15.75" customHeight="1" x14ac:dyDescent="0.2">
      <c r="A37" s="164"/>
      <c r="B37" s="164"/>
      <c r="C37" s="164"/>
      <c r="D37" s="164"/>
      <c r="E37" s="164"/>
      <c r="F37" s="164"/>
      <c r="G37" s="164"/>
      <c r="H37" s="164"/>
      <c r="I37" s="167"/>
      <c r="J37" s="203"/>
      <c r="K37" s="204"/>
      <c r="L37" s="204"/>
      <c r="M37" s="204"/>
      <c r="N37" s="204"/>
      <c r="O37" s="204"/>
      <c r="P37" s="204"/>
      <c r="Q37" s="204"/>
      <c r="R37" s="197"/>
      <c r="S37" s="164"/>
      <c r="T37" s="164"/>
      <c r="U37" s="164"/>
      <c r="V37" s="164"/>
      <c r="W37" s="164"/>
      <c r="X37" s="167"/>
      <c r="Y37" s="203"/>
      <c r="Z37" s="194"/>
      <c r="AA37" s="204"/>
      <c r="AB37" s="197"/>
      <c r="AC37" s="164"/>
      <c r="AD37" s="164"/>
      <c r="AE37" s="164"/>
      <c r="AF37" s="164"/>
      <c r="AG37" s="164"/>
      <c r="AH37" s="164"/>
      <c r="AI37" s="164"/>
      <c r="AJ37" s="164"/>
    </row>
    <row r="38" spans="1:36" ht="15.75" customHeight="1" x14ac:dyDescent="0.2">
      <c r="A38" s="164"/>
      <c r="B38" s="164"/>
      <c r="C38" s="164"/>
      <c r="D38" s="164"/>
      <c r="E38" s="164"/>
      <c r="F38" s="164"/>
      <c r="G38" s="164"/>
      <c r="H38" s="164"/>
      <c r="I38" s="167"/>
      <c r="J38" s="203"/>
      <c r="K38" s="204"/>
      <c r="L38" s="204"/>
      <c r="M38" s="204"/>
      <c r="N38" s="204"/>
      <c r="O38" s="204"/>
      <c r="P38" s="204"/>
      <c r="Q38" s="204"/>
      <c r="R38" s="197"/>
      <c r="S38" s="164"/>
      <c r="T38" s="164"/>
      <c r="U38" s="164"/>
      <c r="V38" s="164"/>
      <c r="W38" s="164"/>
      <c r="X38" s="167"/>
      <c r="Y38" s="203"/>
      <c r="Z38" s="194"/>
      <c r="AA38" s="204"/>
      <c r="AB38" s="197"/>
      <c r="AC38" s="164"/>
      <c r="AD38" s="164"/>
      <c r="AE38" s="164"/>
      <c r="AF38" s="164"/>
      <c r="AG38" s="164"/>
      <c r="AH38" s="164"/>
      <c r="AI38" s="164"/>
      <c r="AJ38" s="164"/>
    </row>
    <row r="39" spans="1:36" ht="15.75" customHeight="1" x14ac:dyDescent="0.2">
      <c r="A39" s="164"/>
      <c r="B39" s="164"/>
      <c r="C39" s="164"/>
      <c r="D39" s="164"/>
      <c r="E39" s="164"/>
      <c r="F39" s="164"/>
      <c r="G39" s="164"/>
      <c r="H39" s="164"/>
      <c r="I39" s="209"/>
      <c r="J39" s="164"/>
      <c r="K39" s="202"/>
      <c r="L39" s="202"/>
      <c r="M39" s="202"/>
      <c r="N39" s="202"/>
      <c r="O39" s="202"/>
      <c r="P39" s="202"/>
      <c r="Q39" s="202"/>
      <c r="R39" s="210"/>
      <c r="S39" s="164"/>
      <c r="T39" s="164"/>
      <c r="U39" s="164"/>
      <c r="V39" s="164"/>
      <c r="W39" s="164"/>
      <c r="X39" s="209"/>
      <c r="Y39" s="164"/>
      <c r="Z39" s="164"/>
      <c r="AA39" s="202"/>
      <c r="AB39" s="210"/>
      <c r="AC39" s="164"/>
      <c r="AD39" s="164"/>
      <c r="AE39" s="164"/>
      <c r="AF39" s="164"/>
      <c r="AG39" s="164"/>
      <c r="AH39" s="164"/>
      <c r="AI39" s="164"/>
      <c r="AJ39" s="164"/>
    </row>
    <row r="40" spans="1:36" ht="15.75" customHeight="1" thickBot="1" x14ac:dyDescent="0.25">
      <c r="A40" s="164"/>
      <c r="B40" s="222"/>
      <c r="C40" s="164"/>
      <c r="D40" s="164"/>
      <c r="E40" s="164"/>
      <c r="F40" s="164"/>
      <c r="G40" s="164"/>
      <c r="H40" s="164"/>
      <c r="I40" s="209"/>
      <c r="J40" s="164"/>
      <c r="K40" s="202"/>
      <c r="L40" s="202"/>
      <c r="M40" s="202"/>
      <c r="N40" s="202"/>
      <c r="O40" s="202"/>
      <c r="P40" s="202"/>
      <c r="Q40" s="202"/>
      <c r="R40" s="210"/>
      <c r="S40" s="164"/>
      <c r="T40" s="164"/>
      <c r="U40" s="164"/>
      <c r="V40" s="164"/>
      <c r="W40" s="164"/>
      <c r="X40" s="209"/>
      <c r="Y40" s="164"/>
      <c r="Z40" s="164"/>
      <c r="AA40" s="202"/>
      <c r="AB40" s="210"/>
      <c r="AC40" s="164"/>
      <c r="AD40" s="164"/>
      <c r="AE40" s="164"/>
      <c r="AF40" s="164"/>
      <c r="AG40" s="164"/>
      <c r="AH40" s="164"/>
      <c r="AI40" s="164"/>
      <c r="AJ40" s="164"/>
    </row>
    <row r="41" spans="1:36" ht="33" customHeight="1" thickTop="1" thickBot="1" x14ac:dyDescent="0.25">
      <c r="A41" s="164"/>
      <c r="B41" s="363" t="s">
        <v>105</v>
      </c>
      <c r="C41" s="364"/>
      <c r="D41" s="364"/>
      <c r="E41" s="364"/>
      <c r="F41" s="364"/>
      <c r="G41" s="164"/>
      <c r="H41" s="164"/>
      <c r="I41" s="363" t="s">
        <v>106</v>
      </c>
      <c r="J41" s="364"/>
      <c r="K41" s="364"/>
      <c r="L41" s="364"/>
      <c r="M41" s="364"/>
      <c r="N41" s="221"/>
      <c r="O41" s="221"/>
      <c r="P41" s="221"/>
      <c r="Q41" s="221"/>
      <c r="R41" s="221"/>
      <c r="S41" s="221"/>
      <c r="T41" s="227"/>
      <c r="U41" s="164"/>
      <c r="V41" s="164"/>
      <c r="W41" s="164"/>
      <c r="X41" s="211"/>
      <c r="Y41" s="202"/>
      <c r="Z41" s="202"/>
      <c r="AA41" s="202"/>
      <c r="AB41" s="212"/>
      <c r="AC41" s="164"/>
      <c r="AD41" s="164"/>
      <c r="AE41" s="164"/>
      <c r="AF41" s="164"/>
      <c r="AG41" s="164"/>
      <c r="AH41" s="164"/>
      <c r="AI41" s="164"/>
      <c r="AJ41" s="164"/>
    </row>
    <row r="42" spans="1:36" ht="15.75" customHeight="1" thickTop="1" thickBot="1" x14ac:dyDescent="0.25">
      <c r="A42" s="164"/>
      <c r="B42" s="181"/>
      <c r="C42" s="182">
        <v>2019</v>
      </c>
      <c r="D42" s="182">
        <f t="shared" ref="D42:F42" si="4">C42+1</f>
        <v>2020</v>
      </c>
      <c r="E42" s="182">
        <f>D42+1</f>
        <v>2021</v>
      </c>
      <c r="F42" s="182">
        <f t="shared" si="4"/>
        <v>2022</v>
      </c>
      <c r="G42" s="164"/>
      <c r="H42" s="164"/>
      <c r="I42" s="181"/>
      <c r="J42" s="182">
        <v>2019</v>
      </c>
      <c r="K42" s="182">
        <f t="shared" ref="K42:M42" si="5">+J42+1</f>
        <v>2020</v>
      </c>
      <c r="L42" s="182">
        <f t="shared" si="5"/>
        <v>2021</v>
      </c>
      <c r="M42" s="182">
        <f t="shared" si="5"/>
        <v>2022</v>
      </c>
      <c r="N42" s="164"/>
      <c r="O42" s="164"/>
      <c r="P42" s="164"/>
      <c r="Q42" s="239"/>
      <c r="R42" s="239"/>
      <c r="S42" s="239"/>
      <c r="T42" s="239"/>
      <c r="U42" s="164"/>
      <c r="V42" s="164"/>
      <c r="W42" s="164"/>
      <c r="X42" s="211"/>
      <c r="Y42" s="202"/>
      <c r="Z42" s="202"/>
      <c r="AA42" s="202"/>
      <c r="AB42" s="212"/>
      <c r="AC42" s="164"/>
      <c r="AD42" s="164"/>
      <c r="AE42" s="164"/>
      <c r="AF42" s="164"/>
      <c r="AG42" s="164"/>
      <c r="AH42" s="164"/>
      <c r="AI42" s="164"/>
      <c r="AJ42" s="164"/>
    </row>
    <row r="43" spans="1:36" ht="18" customHeight="1" thickTop="1" thickBot="1" x14ac:dyDescent="0.25">
      <c r="A43" s="164"/>
      <c r="B43" s="321" t="s">
        <v>107</v>
      </c>
      <c r="C43" s="322" t="s">
        <v>13</v>
      </c>
      <c r="D43" s="322" t="s">
        <v>13</v>
      </c>
      <c r="E43" s="322" t="s">
        <v>13</v>
      </c>
      <c r="F43" s="322" t="s">
        <v>13</v>
      </c>
      <c r="G43" s="164"/>
      <c r="H43" s="164"/>
      <c r="I43" s="321" t="s">
        <v>107</v>
      </c>
      <c r="J43" s="322" t="s">
        <v>13</v>
      </c>
      <c r="K43" s="322" t="s">
        <v>13</v>
      </c>
      <c r="L43" s="322" t="s">
        <v>13</v>
      </c>
      <c r="M43" s="322" t="s">
        <v>13</v>
      </c>
      <c r="N43" s="164"/>
      <c r="O43" s="164"/>
      <c r="P43" s="164"/>
      <c r="Q43" s="228"/>
      <c r="R43" s="228"/>
      <c r="S43" s="228"/>
      <c r="T43" s="228"/>
      <c r="U43" s="164"/>
      <c r="V43" s="164"/>
      <c r="W43" s="164"/>
      <c r="X43" s="211"/>
      <c r="Y43" s="202"/>
      <c r="Z43" s="202"/>
      <c r="AA43" s="202"/>
      <c r="AB43" s="212"/>
      <c r="AC43" s="164"/>
      <c r="AD43" s="164"/>
      <c r="AE43" s="164"/>
      <c r="AF43" s="164"/>
      <c r="AG43" s="164"/>
      <c r="AH43" s="164"/>
      <c r="AI43" s="164"/>
      <c r="AJ43" s="164"/>
    </row>
    <row r="44" spans="1:36" ht="15.75" customHeight="1" thickTop="1" thickBot="1" x14ac:dyDescent="0.25">
      <c r="A44" s="164"/>
      <c r="B44" s="189" t="s">
        <v>21</v>
      </c>
      <c r="C44" s="193">
        <f>SUMIFS(Data!$S:$S,Data!$H:$H,$B44,Data!$E:$E,C$42,Data!$F:$F,C$43)</f>
        <v>29256.406241249999</v>
      </c>
      <c r="D44" s="193">
        <f>SUMIFS(Data!$S:$S,Data!$H:$H,$B44,Data!$E:$E,D$42,Data!$F:$F,D$43)</f>
        <v>50168.307579899993</v>
      </c>
      <c r="E44" s="193">
        <f>SUMIFS(Data!$S:$S,Data!$H:$H,$B44,Data!$E:$E,E$42,Data!$F:$F,E$43)</f>
        <v>66455.250533999992</v>
      </c>
      <c r="F44" s="193">
        <f>SUMIFS(Data!$S:$S,Data!$H:$H,$B44,Data!$E:$E,F$42,Data!$F:$F,F$43)</f>
        <v>51573.767196449997</v>
      </c>
      <c r="G44" s="164"/>
      <c r="H44" s="164"/>
      <c r="I44" s="189" t="s">
        <v>21</v>
      </c>
      <c r="J44" s="193">
        <f>SUMIFS(Data!$S:$S,Data!$H:$H,$I44,Data!$E:$E,J$42,Data!$C:$C,$J$7,Data!$F:$F,J$43)</f>
        <v>26913.450899999996</v>
      </c>
      <c r="K44" s="193">
        <f>SUMIFS(Data!$S:$S,Data!$H:$H,$I44,Data!$E:$E,K$42,Data!$C:$C,$J$7,Data!$F:$F,K$43)</f>
        <v>47507.156399999993</v>
      </c>
      <c r="L44" s="193">
        <f>SUMIFS(Data!$S:$S,Data!$H:$H,$I44,Data!$E:$E,L$42,Data!$C:$C,$J$7,Data!$F:$F,L$43)</f>
        <v>64567.89899999999</v>
      </c>
      <c r="M44" s="193">
        <f>SUMIFS(Data!$S:$S,Data!$H:$H,$I44,Data!$E:$E,M$42,Data!$C:$C,$J$7,Data!$F:$F,M$43)</f>
        <v>49943.225249999996</v>
      </c>
      <c r="N44" s="164"/>
      <c r="O44" s="164"/>
      <c r="P44" s="164"/>
      <c r="Q44" s="229"/>
      <c r="R44" s="229"/>
      <c r="S44" s="229"/>
      <c r="T44" s="230"/>
      <c r="U44" s="164"/>
      <c r="V44" s="164"/>
      <c r="W44" s="164"/>
      <c r="X44" s="211"/>
      <c r="Y44" s="202"/>
      <c r="Z44" s="202"/>
      <c r="AA44" s="202"/>
      <c r="AB44" s="212"/>
      <c r="AC44" s="164"/>
      <c r="AD44" s="164"/>
      <c r="AE44" s="164"/>
      <c r="AF44" s="164"/>
      <c r="AG44" s="164"/>
      <c r="AH44" s="164"/>
      <c r="AI44" s="164"/>
      <c r="AJ44" s="164"/>
    </row>
    <row r="45" spans="1:36" ht="15.75" customHeight="1" thickTop="1" thickBot="1" x14ac:dyDescent="0.25">
      <c r="A45" s="164"/>
      <c r="B45" s="189" t="s">
        <v>23</v>
      </c>
      <c r="C45" s="193">
        <f>SUMIFS(Data!$S:$S,Data!$H:$H,$B45,Data!$E:$E,C$42,Data!$F:$F,C$43)</f>
        <v>1587.7098006000001</v>
      </c>
      <c r="D45" s="193">
        <f>SUMIFS(Data!$S:$S,Data!$H:$H,$B45,Data!$E:$E,D$42,Data!$F:$F,D$43)</f>
        <v>1527.8727353999998</v>
      </c>
      <c r="E45" s="193">
        <f>SUMIFS(Data!$S:$S,Data!$H:$H,$B45,Data!$E:$E,E$42,Data!$F:$F,E$43)</f>
        <v>1482.5560332</v>
      </c>
      <c r="F45" s="193">
        <f>SUMIFS(Data!$S:$S,Data!$H:$H,$B45,Data!$E:$E,F$42,Data!$F:$F,F$43)</f>
        <v>1622.7462151932514</v>
      </c>
      <c r="G45" s="164"/>
      <c r="H45" s="164"/>
      <c r="I45" s="189" t="s">
        <v>23</v>
      </c>
      <c r="J45" s="193">
        <f>SUMIFS(Data!$S:$S,Data!$H:$H,$I45,Data!$E:$E,J$42,Data!$C:$C,$J$7,Data!$F:$F,J$43)</f>
        <v>1233.3651</v>
      </c>
      <c r="K45" s="193">
        <f>SUMIFS(Data!$S:$S,Data!$H:$H,$I45,Data!$E:$E,K$42,Data!$C:$C,$J$7,Data!$F:$F,K$43)</f>
        <v>1179.0239999999999</v>
      </c>
      <c r="L45" s="193">
        <f>SUMIFS(Data!$S:$S,Data!$H:$H,$I45,Data!$E:$E,L$42,Data!$C:$C,$J$7,Data!$F:$F,L$43)</f>
        <v>1014.6576</v>
      </c>
      <c r="M45" s="193">
        <f>SUMIFS(Data!$S:$S,Data!$H:$H,$I45,Data!$E:$E,M$42,Data!$C:$C,$J$7,Data!$F:$F,M$43)</f>
        <v>1102.068</v>
      </c>
      <c r="N45" s="164"/>
      <c r="O45" s="164"/>
      <c r="P45" s="164"/>
      <c r="Q45" s="231"/>
      <c r="R45" s="231"/>
      <c r="S45" s="231"/>
      <c r="T45" s="232"/>
      <c r="U45" s="164"/>
      <c r="V45" s="164"/>
      <c r="W45" s="164"/>
      <c r="X45" s="211"/>
      <c r="Y45" s="202"/>
      <c r="Z45" s="202"/>
      <c r="AA45" s="202"/>
      <c r="AB45" s="212"/>
      <c r="AC45" s="164"/>
      <c r="AD45" s="164"/>
      <c r="AE45" s="164"/>
      <c r="AF45" s="164"/>
      <c r="AG45" s="164"/>
      <c r="AH45" s="164"/>
      <c r="AI45" s="164"/>
      <c r="AJ45" s="164"/>
    </row>
    <row r="46" spans="1:36" ht="15.75" customHeight="1" thickTop="1" thickBot="1" x14ac:dyDescent="0.25">
      <c r="A46" s="164"/>
      <c r="B46" s="189" t="s">
        <v>25</v>
      </c>
      <c r="C46" s="193">
        <f>SUMIFS(Data!$S:$S,Data!$H:$H,$B46,Data!$E:$E,C$42,Data!$F:$F,C$43)</f>
        <v>882.06476199999997</v>
      </c>
      <c r="D46" s="193">
        <f>SUMIFS(Data!$S:$S,Data!$H:$H,$B46,Data!$E:$E,D$42,Data!$F:$F,D$43)</f>
        <v>81.529938000000001</v>
      </c>
      <c r="E46" s="193">
        <f>SUMIFS(Data!$S:$S,Data!$H:$H,$B46,Data!$E:$E,E$42,Data!$F:$F,E$43)</f>
        <v>908.39154299999996</v>
      </c>
      <c r="F46" s="193">
        <f>SUMIFS(Data!$S:$S,Data!$H:$H,$B46,Data!$E:$E,F$42,Data!$F:$F,F$43)</f>
        <v>972.14947484169886</v>
      </c>
      <c r="G46" s="164"/>
      <c r="H46" s="164"/>
      <c r="I46" s="189" t="s">
        <v>25</v>
      </c>
      <c r="J46" s="193">
        <f>SUMIFS(Data!$S:$S,Data!$H:$H,$I46,Data!$E:$E,J$42,Data!$C:$C,$J$7,Data!$F:$F,J$43)</f>
        <v>872.83600000000001</v>
      </c>
      <c r="K46" s="193">
        <f>SUMIFS(Data!$S:$S,Data!$H:$H,$I46,Data!$E:$E,K$42,Data!$C:$C,$J$7,Data!$F:$F,K$43)</f>
        <v>74.585999999999999</v>
      </c>
      <c r="L46" s="193">
        <f>SUMIFS(Data!$S:$S,Data!$H:$H,$I46,Data!$E:$E,L$42,Data!$C:$C,$J$7,Data!$F:$F,L$43)</f>
        <v>900.05399999999997</v>
      </c>
      <c r="M46" s="193">
        <f>SUMIFS(Data!$S:$S,Data!$H:$H,$I46,Data!$E:$E,M$42,Data!$C:$C,$J$7,Data!$F:$F,M$43)</f>
        <v>958.21</v>
      </c>
      <c r="N46" s="164"/>
      <c r="O46" s="164"/>
      <c r="P46" s="164"/>
      <c r="Q46" s="231"/>
      <c r="R46" s="231"/>
      <c r="S46" s="231"/>
      <c r="T46" s="232"/>
      <c r="U46" s="164"/>
      <c r="V46" s="164"/>
      <c r="W46" s="164"/>
      <c r="X46" s="211"/>
      <c r="Y46" s="202"/>
      <c r="Z46" s="202"/>
      <c r="AA46" s="202"/>
      <c r="AB46" s="212"/>
      <c r="AC46" s="164"/>
      <c r="AD46" s="164"/>
      <c r="AE46" s="164"/>
      <c r="AF46" s="164"/>
      <c r="AG46" s="164"/>
      <c r="AH46" s="164"/>
      <c r="AI46" s="164"/>
      <c r="AJ46" s="164"/>
    </row>
    <row r="47" spans="1:36" ht="15.75" customHeight="1" thickTop="1" thickBot="1" x14ac:dyDescent="0.25">
      <c r="A47" s="164"/>
      <c r="B47" s="189" t="s">
        <v>26</v>
      </c>
      <c r="C47" s="193">
        <f>SUMIFS(Data!$S:$S,Data!$H:$H,$B47,Data!$E:$E,C$42,Data!$F:$F,C$43)</f>
        <v>0</v>
      </c>
      <c r="D47" s="193">
        <f>SUMIFS(Data!$S:$S,Data!$H:$H,$B47,Data!$E:$E,D$42,Data!$F:$F,D$43)</f>
        <v>13.98</v>
      </c>
      <c r="E47" s="193">
        <f>SUMIFS(Data!$S:$S,Data!$H:$H,$B47,Data!$E:$E,E$42,Data!$F:$F,E$43)</f>
        <v>0</v>
      </c>
      <c r="F47" s="193">
        <f>SUMIFS(Data!$S:$S,Data!$H:$H,$B47,Data!$E:$E,F$42,Data!$F:$F,F$43)</f>
        <v>0</v>
      </c>
      <c r="G47" s="164"/>
      <c r="H47" s="164"/>
      <c r="I47" s="189" t="s">
        <v>26</v>
      </c>
      <c r="J47" s="193">
        <f>SUMIFS(Data!$S:$S,Data!$H:$H,$I47,Data!$E:$E,J$42,Data!$C:$C,$J$7,Data!$F:$F,J$43)</f>
        <v>0</v>
      </c>
      <c r="K47" s="193">
        <f>SUMIFS(Data!$S:$S,Data!$H:$H,$I47,Data!$E:$E,K$42,Data!$C:$C,$J$7,Data!$F:$F,K$43)</f>
        <v>13.98</v>
      </c>
      <c r="L47" s="193">
        <f>SUMIFS(Data!$S:$S,Data!$H:$H,$I47,Data!$E:$E,L$42,Data!$C:$C,$J$7,Data!$F:$F,L$43)</f>
        <v>0</v>
      </c>
      <c r="M47" s="193">
        <f>SUMIFS(Data!$S:$S,Data!$H:$H,$I47,Data!$E:$E,M$42,Data!$C:$C,$J$7,Data!$F:$F,M$43)</f>
        <v>0</v>
      </c>
      <c r="N47" s="164"/>
      <c r="O47" s="164"/>
      <c r="P47" s="164"/>
      <c r="Q47" s="233"/>
      <c r="R47" s="233"/>
      <c r="S47" s="233"/>
      <c r="T47" s="234"/>
      <c r="U47" s="164"/>
      <c r="V47" s="164"/>
      <c r="W47" s="164"/>
      <c r="X47" s="211"/>
      <c r="Y47" s="202"/>
      <c r="Z47" s="202"/>
      <c r="AA47" s="202"/>
      <c r="AB47" s="212"/>
      <c r="AC47" s="164"/>
      <c r="AD47" s="164"/>
      <c r="AE47" s="164"/>
      <c r="AF47" s="164"/>
      <c r="AG47" s="164"/>
      <c r="AH47" s="164"/>
      <c r="AI47" s="164"/>
      <c r="AJ47" s="164"/>
    </row>
    <row r="48" spans="1:36" ht="15.75" customHeight="1" thickTop="1" thickBot="1" x14ac:dyDescent="0.25">
      <c r="A48" s="164"/>
      <c r="B48" s="201" t="s">
        <v>29</v>
      </c>
      <c r="C48" s="193">
        <f>SUMIFS(Data!$S:$S,Data!$H:$H,$B48,Data!$E:$E,C$42,Data!$F:$F,C$43)</f>
        <v>176613.58123668001</v>
      </c>
      <c r="D48" s="193">
        <f>SUMIFS(Data!$S:$S,Data!$H:$H,$B48,Data!$E:$E,D$42,Data!$F:$F,D$43)</f>
        <v>239836.91284367998</v>
      </c>
      <c r="E48" s="193">
        <f>SUMIFS(Data!$S:$S,Data!$H:$H,$B48,Data!$E:$E,E$42,Data!$F:$F,E$43)</f>
        <v>378.88219511999995</v>
      </c>
      <c r="F48" s="193">
        <f>SUMIFS(Data!$S:$S,Data!$H:$H,$B48,Data!$E:$E,F$42,Data!$F:$F,F$43)</f>
        <v>289.58104268121599</v>
      </c>
      <c r="G48" s="164"/>
      <c r="H48" s="164"/>
      <c r="I48" s="201" t="s">
        <v>29</v>
      </c>
      <c r="J48" s="193">
        <f>SUMIFS(Data!$S:$S,Data!$H:$H,$I48,Data!$E:$E,J$42,Data!$C:$C,$J$7,Data!$F:$F,J$43)</f>
        <v>176130.0558</v>
      </c>
      <c r="K48" s="193">
        <f>SUMIFS(Data!$S:$S,Data!$H:$H,$I48,Data!$E:$E,K$42,Data!$C:$C,$J$7,Data!$F:$F,K$43)</f>
        <v>239395.59971999997</v>
      </c>
      <c r="L48" s="193">
        <f>SUMIFS(Data!$S:$S,Data!$H:$H,$I48,Data!$E:$E,L$42,Data!$C:$C,$J$7,Data!$F:$F,L$43)</f>
        <v>0</v>
      </c>
      <c r="M48" s="193">
        <f>SUMIFS(Data!$S:$S,Data!$H:$H,$I48,Data!$E:$E,M$42,Data!$C:$C,$J$7,Data!$F:$F,M$43)</f>
        <v>0</v>
      </c>
      <c r="N48" s="164"/>
      <c r="O48" s="164"/>
      <c r="P48" s="164"/>
      <c r="Q48" s="233"/>
      <c r="R48" s="233"/>
      <c r="S48" s="233"/>
      <c r="T48" s="23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</row>
    <row r="49" spans="1:36" ht="15.75" customHeight="1" thickTop="1" thickBot="1" x14ac:dyDescent="0.25">
      <c r="A49" s="164"/>
      <c r="B49" s="201" t="s">
        <v>31</v>
      </c>
      <c r="C49" s="193">
        <f>SUMIFS(Data!$S:$S,Data!$H:$H,$B49,Data!$E:$E,C$42,Data!$F:$F,C$43)</f>
        <v>116954.56610423997</v>
      </c>
      <c r="D49" s="193">
        <f>SUMIFS(Data!$S:$S,Data!$H:$H,$B49,Data!$E:$E,D$42,Data!$F:$F,D$43)</f>
        <v>119374.40922462</v>
      </c>
      <c r="E49" s="193">
        <f>SUMIFS(Data!$S:$S,Data!$H:$H,$B49,Data!$E:$E,E$42,Data!$F:$F,E$43)</f>
        <v>376840.57488263998</v>
      </c>
      <c r="F49" s="193">
        <f>SUMIFS(Data!$S:$S,Data!$H:$H,$B49,Data!$E:$E,F$42,Data!$F:$F,F$43)</f>
        <v>387470.79649088217</v>
      </c>
      <c r="G49" s="164"/>
      <c r="H49" s="164"/>
      <c r="I49" s="201" t="s">
        <v>31</v>
      </c>
      <c r="J49" s="193">
        <f>SUMIFS(Data!$S:$S,Data!$H:$H,$I49,Data!$E:$E,J$42,Data!$C:$C,$J$7,Data!$F:$F,J$43)</f>
        <v>92074.097519999981</v>
      </c>
      <c r="K49" s="193">
        <f>SUMIFS(Data!$S:$S,Data!$H:$H,$I49,Data!$E:$E,K$42,Data!$C:$C,$J$7,Data!$F:$F,K$43)</f>
        <v>93881.55906</v>
      </c>
      <c r="L49" s="193">
        <f>SUMIFS(Data!$S:$S,Data!$H:$H,$I49,Data!$E:$E,L$42,Data!$C:$C,$J$7,Data!$F:$F,L$43)</f>
        <v>361085.68565999996</v>
      </c>
      <c r="M49" s="193">
        <f>SUMIFS(Data!$S:$S,Data!$H:$H,$I49,Data!$E:$E,M$42,Data!$C:$C,$J$7,Data!$F:$F,M$43)</f>
        <v>371225.49911999999</v>
      </c>
      <c r="N49" s="164"/>
      <c r="O49" s="164"/>
      <c r="P49" s="164"/>
      <c r="Q49" s="233"/>
      <c r="R49" s="233"/>
      <c r="S49" s="233"/>
      <c r="T49" s="23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</row>
    <row r="50" spans="1:36" ht="15.75" customHeight="1" thickTop="1" thickBot="1" x14ac:dyDescent="0.25">
      <c r="A50" s="164"/>
      <c r="B50" s="201" t="s">
        <v>32</v>
      </c>
      <c r="C50" s="193">
        <f>SUMIFS(Data!$S:$S,Data!$H:$H,$B50,Data!$E:$E,C$42,Data!$F:$F,C$43)</f>
        <v>0.81425214000000001</v>
      </c>
      <c r="D50" s="193">
        <f>SUMIFS(Data!$S:$S,Data!$H:$H,$B50,Data!$E:$E,D$42,Data!$F:$F,D$43)</f>
        <v>3.1505675399999999</v>
      </c>
      <c r="E50" s="193">
        <f>SUMIFS(Data!$S:$S,Data!$H:$H,$B50,Data!$E:$E,E$42,Data!$F:$F,E$43)</f>
        <v>4.2245512200000004</v>
      </c>
      <c r="F50" s="193">
        <f>SUMIFS(Data!$S:$S,Data!$H:$H,$B50,Data!$E:$E,F$42,Data!$F:$F,F$43)</f>
        <v>12.844159740000002</v>
      </c>
      <c r="G50" s="164"/>
      <c r="H50" s="164"/>
      <c r="I50" s="201" t="s">
        <v>32</v>
      </c>
      <c r="J50" s="193">
        <f>SUMIFS(Data!$S:$S,Data!$H:$H,$I50,Data!$E:$E,J$42,Data!$C:$C,$J$7,Data!$F:$F,J$43)</f>
        <v>0.74646000000000001</v>
      </c>
      <c r="K50" s="193">
        <f>SUMIFS(Data!$S:$S,Data!$H:$H,$I50,Data!$E:$E,K$42,Data!$C:$C,$J$7,Data!$F:$F,K$43)</f>
        <v>1.99926</v>
      </c>
      <c r="L50" s="193">
        <f>SUMIFS(Data!$S:$S,Data!$H:$H,$I50,Data!$E:$E,L$42,Data!$C:$C,$J$7,Data!$F:$F,L$43)</f>
        <v>0</v>
      </c>
      <c r="M50" s="193">
        <f>SUMIFS(Data!$S:$S,Data!$H:$H,$I50,Data!$E:$E,M$42,Data!$C:$C,$J$7,Data!$F:$F,M$43)</f>
        <v>0</v>
      </c>
      <c r="N50" s="164"/>
      <c r="O50" s="164"/>
      <c r="P50" s="164"/>
      <c r="Q50" s="235"/>
      <c r="R50" s="235"/>
      <c r="S50" s="235"/>
      <c r="T50" s="236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</row>
    <row r="51" spans="1:36" ht="15.75" customHeight="1" thickTop="1" thickBot="1" x14ac:dyDescent="0.25">
      <c r="A51" s="164"/>
      <c r="B51" s="201" t="s">
        <v>35</v>
      </c>
      <c r="C51" s="193">
        <f>SUMIFS(Data!$S:$S,Data!$H:$H,$B51,Data!$E:$E,C$42,Data!$F:$F,C$43)</f>
        <v>0</v>
      </c>
      <c r="D51" s="193">
        <f>SUMIFS(Data!$S:$S,Data!$H:$H,$B51,Data!$E:$E,D$42,Data!$F:$F,D$43)</f>
        <v>0</v>
      </c>
      <c r="E51" s="193">
        <f>SUMIFS(Data!$S:$S,Data!$H:$H,$B51,Data!$E:$E,E$42,Data!$F:$F,E$43)</f>
        <v>0</v>
      </c>
      <c r="F51" s="193">
        <f>SUMIFS(Data!$S:$S,Data!$H:$H,$B51,Data!$E:$E,F$42,Data!$F:$F,F$43)</f>
        <v>0</v>
      </c>
      <c r="G51" s="164"/>
      <c r="H51" s="164"/>
      <c r="I51" s="201" t="s">
        <v>35</v>
      </c>
      <c r="J51" s="193">
        <f>SUMIFS(Data!$S:$S,Data!$H:$H,$I51,Data!$E:$E,J$42,Data!$C:$C,$J$7,Data!$F:$F,J$43)</f>
        <v>0</v>
      </c>
      <c r="K51" s="193">
        <f>SUMIFS(Data!$S:$S,Data!$H:$H,$I51,Data!$E:$E,K$42,Data!$C:$C,$J$7,Data!$F:$F,K$43)</f>
        <v>0</v>
      </c>
      <c r="L51" s="193">
        <f>SUMIFS(Data!$S:$S,Data!$H:$H,$I51,Data!$E:$E,L$42,Data!$C:$C,$J$7,Data!$F:$F,L$43)</f>
        <v>0</v>
      </c>
      <c r="M51" s="193">
        <f>SUMIFS(Data!$S:$S,Data!$H:$H,$I51,Data!$E:$E,M$42,Data!$C:$C,$J$7,Data!$F:$F,M$43)</f>
        <v>0</v>
      </c>
      <c r="N51" s="164"/>
      <c r="O51" s="164"/>
      <c r="P51" s="164"/>
      <c r="Q51" s="231"/>
      <c r="R51" s="231"/>
      <c r="S51" s="231"/>
      <c r="T51" s="232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</row>
    <row r="52" spans="1:36" ht="15.75" customHeight="1" thickBot="1" x14ac:dyDescent="0.25">
      <c r="A52" s="164"/>
      <c r="B52" s="319" t="s">
        <v>102</v>
      </c>
      <c r="C52" s="320">
        <f>SUM(C44:C51)</f>
        <v>325295.14239691</v>
      </c>
      <c r="D52" s="320">
        <f>SUM(D44:D51)</f>
        <v>411006.16288914002</v>
      </c>
      <c r="E52" s="320">
        <f>SUM(E44:E51)</f>
        <v>446069.87973917997</v>
      </c>
      <c r="F52" s="320">
        <f>SUM(F44:F51)</f>
        <v>441941.88457978837</v>
      </c>
      <c r="G52" s="164"/>
      <c r="H52" s="164"/>
      <c r="I52" s="319" t="s">
        <v>102</v>
      </c>
      <c r="J52" s="320">
        <f>SUM(J44:J51)</f>
        <v>297224.55177999998</v>
      </c>
      <c r="K52" s="320">
        <f>SUM(K44:K51)</f>
        <v>382053.90443999995</v>
      </c>
      <c r="L52" s="320">
        <f>SUM(L44:L51)</f>
        <v>427568.29625999997</v>
      </c>
      <c r="M52" s="320">
        <f>SUM(M44:M51)</f>
        <v>423229.00237</v>
      </c>
      <c r="N52" s="164"/>
      <c r="O52" s="164"/>
      <c r="P52" s="164"/>
      <c r="Q52" s="237"/>
      <c r="R52" s="237"/>
      <c r="S52" s="237"/>
      <c r="T52" s="238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205"/>
    </row>
    <row r="53" spans="1:36" ht="15.75" customHeight="1" thickTop="1" x14ac:dyDescent="0.2">
      <c r="A53" s="164"/>
      <c r="B53" s="164"/>
      <c r="C53" s="195"/>
      <c r="D53" s="195"/>
      <c r="E53" s="195"/>
      <c r="F53" s="195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205"/>
    </row>
    <row r="54" spans="1:36" ht="15.75" customHeight="1" thickBot="1" x14ac:dyDescent="0.25">
      <c r="A54" s="164"/>
      <c r="B54" s="164"/>
      <c r="C54" s="164"/>
      <c r="D54" s="164"/>
      <c r="E54" s="164"/>
      <c r="F54" s="164"/>
      <c r="G54" s="164"/>
      <c r="H54" s="164"/>
      <c r="I54" s="209"/>
      <c r="J54" s="164"/>
      <c r="K54" s="202"/>
      <c r="L54" s="202"/>
      <c r="M54" s="202"/>
      <c r="N54" s="202"/>
      <c r="O54" s="202"/>
      <c r="P54" s="202"/>
      <c r="Q54" s="202"/>
      <c r="R54" s="210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</row>
    <row r="55" spans="1:36" ht="18.95" customHeight="1" thickTop="1" thickBot="1" x14ac:dyDescent="0.25">
      <c r="A55" s="164"/>
      <c r="B55" s="363" t="s">
        <v>108</v>
      </c>
      <c r="C55" s="364"/>
      <c r="D55" s="364"/>
      <c r="E55" s="364"/>
      <c r="F55" s="364"/>
      <c r="G55" s="164"/>
      <c r="H55" s="164"/>
      <c r="I55" s="363" t="s">
        <v>109</v>
      </c>
      <c r="J55" s="364"/>
      <c r="K55" s="364"/>
      <c r="L55" s="364"/>
      <c r="M55" s="364"/>
      <c r="N55" s="221"/>
      <c r="O55" s="221"/>
      <c r="P55" s="221"/>
      <c r="Q55" s="221"/>
      <c r="R55" s="221"/>
      <c r="S55" s="221"/>
      <c r="T55" s="227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</row>
    <row r="56" spans="1:36" ht="15.75" customHeight="1" thickTop="1" thickBot="1" x14ac:dyDescent="0.25">
      <c r="A56" s="164"/>
      <c r="B56" s="213"/>
      <c r="C56" s="182">
        <v>2019</v>
      </c>
      <c r="D56" s="214">
        <f t="shared" ref="D56:F56" si="6">C56+1</f>
        <v>2020</v>
      </c>
      <c r="E56" s="214">
        <f>D56+1</f>
        <v>2021</v>
      </c>
      <c r="F56" s="214">
        <f t="shared" si="6"/>
        <v>2022</v>
      </c>
      <c r="G56" s="164"/>
      <c r="H56" s="164"/>
      <c r="I56" s="213"/>
      <c r="J56" s="182">
        <v>2019</v>
      </c>
      <c r="K56" s="214">
        <f t="shared" ref="K56:M56" si="7">+J56+1</f>
        <v>2020</v>
      </c>
      <c r="L56" s="214">
        <f t="shared" si="7"/>
        <v>2021</v>
      </c>
      <c r="M56" s="214">
        <f t="shared" si="7"/>
        <v>2022</v>
      </c>
      <c r="N56" s="221"/>
      <c r="O56" s="221"/>
      <c r="P56" s="221"/>
      <c r="Q56" s="240"/>
      <c r="R56" s="240"/>
      <c r="S56" s="240"/>
      <c r="T56" s="240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</row>
    <row r="57" spans="1:36" ht="20.100000000000001" customHeight="1" thickTop="1" thickBot="1" x14ac:dyDescent="0.25">
      <c r="A57" s="164"/>
      <c r="B57" s="323"/>
      <c r="C57" s="322" t="s">
        <v>13</v>
      </c>
      <c r="D57" s="322" t="s">
        <v>13</v>
      </c>
      <c r="E57" s="322" t="s">
        <v>13</v>
      </c>
      <c r="F57" s="322" t="s">
        <v>13</v>
      </c>
      <c r="G57" s="164"/>
      <c r="H57" s="164"/>
      <c r="I57" s="323"/>
      <c r="J57" s="322" t="s">
        <v>13</v>
      </c>
      <c r="K57" s="322" t="s">
        <v>13</v>
      </c>
      <c r="L57" s="322" t="s">
        <v>13</v>
      </c>
      <c r="M57" s="322" t="s">
        <v>13</v>
      </c>
      <c r="N57" s="221"/>
      <c r="O57" s="221"/>
      <c r="P57" s="221"/>
      <c r="Q57" s="228"/>
      <c r="R57" s="228"/>
      <c r="S57" s="228"/>
      <c r="T57" s="228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</row>
    <row r="58" spans="1:36" ht="15.75" customHeight="1" thickTop="1" thickBot="1" x14ac:dyDescent="0.25">
      <c r="A58" s="164"/>
      <c r="B58" s="215" t="s">
        <v>73</v>
      </c>
      <c r="C58" s="216">
        <f>C52/$C$52</f>
        <v>1</v>
      </c>
      <c r="D58" s="216">
        <f>D52/$C$52</f>
        <v>1.2634869363885226</v>
      </c>
      <c r="E58" s="216">
        <f>E52/$C$52</f>
        <v>1.3712774081172914</v>
      </c>
      <c r="F58" s="216">
        <f>F52/$C$52</f>
        <v>1.3585874087248171</v>
      </c>
      <c r="G58" s="164"/>
      <c r="H58" s="164"/>
      <c r="I58" s="215" t="s">
        <v>73</v>
      </c>
      <c r="J58" s="216">
        <f>J52/$J$52</f>
        <v>1</v>
      </c>
      <c r="K58" s="216">
        <f>K52/$J$52</f>
        <v>1.285404930891406</v>
      </c>
      <c r="L58" s="216">
        <f>L52/$J$52</f>
        <v>1.4385362639102506</v>
      </c>
      <c r="M58" s="216">
        <f>M52/$J$52</f>
        <v>1.4239368848750629</v>
      </c>
      <c r="N58" s="221"/>
      <c r="O58" s="221"/>
      <c r="P58" s="221"/>
      <c r="Q58" s="241"/>
      <c r="R58" s="241"/>
      <c r="S58" s="241"/>
      <c r="T58" s="241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</row>
    <row r="59" spans="1:36" ht="15.75" customHeight="1" thickTop="1" thickBot="1" x14ac:dyDescent="0.25">
      <c r="A59" s="164"/>
      <c r="B59" s="217" t="s">
        <v>74</v>
      </c>
      <c r="C59" s="218"/>
      <c r="D59" s="218"/>
      <c r="E59" s="218"/>
      <c r="F59" s="218"/>
      <c r="G59" s="164"/>
      <c r="H59" s="164"/>
      <c r="I59" s="217" t="s">
        <v>74</v>
      </c>
      <c r="J59" s="218"/>
      <c r="K59" s="218"/>
      <c r="L59" s="218"/>
      <c r="M59" s="218"/>
      <c r="N59" s="221"/>
      <c r="O59" s="221"/>
      <c r="P59" s="221"/>
      <c r="Q59" s="241"/>
      <c r="R59" s="241"/>
      <c r="S59" s="241"/>
      <c r="T59" s="241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</row>
    <row r="60" spans="1:36" ht="15.75" customHeight="1" thickTop="1" thickBot="1" x14ac:dyDescent="0.25">
      <c r="A60" s="164"/>
      <c r="B60" s="219" t="str">
        <f>'Input keuzevariabelen'!F11</f>
        <v>Hoeveelheid verpompt afvalwater</v>
      </c>
      <c r="C60" s="254">
        <f>SUMIFS(Data!$J:$J,Data!$H:$H,$B$60,Data!$E:$E,C$56,Data!$F:$F,C$57)</f>
        <v>146610.367</v>
      </c>
      <c r="D60" s="254">
        <f>SUMIFS(Data!$I:$I,Data!$H:$H,$B$60,Data!$E:$E,D$56,Data!$F:$F,D$57)</f>
        <v>153871.84</v>
      </c>
      <c r="E60" s="254">
        <f>SUMIFS(Data!$I:$I,Data!$H:$H,$B$60,Data!$E:$E,E$56,Data!$F:$F,E$57)</f>
        <v>150456.43</v>
      </c>
      <c r="F60" s="254">
        <f>SUMIFS(Data!$I:$I,Data!$H:$H,$B$60,Data!$E:$E,F$56,Data!$F:$F,F$57)</f>
        <v>130853.378</v>
      </c>
      <c r="G60" s="164"/>
      <c r="H60" s="164"/>
      <c r="I60" s="219" t="str">
        <f>'Input keuzevariabelen'!F11</f>
        <v>Hoeveelheid verpompt afvalwater</v>
      </c>
      <c r="J60" s="254">
        <f>SUMIFS(Data!$J:$J,Data!$H:$H,$I$60,Data!$E:$E,J$56,Data!$F:$F,J$57,Data!$C:$C,$J$7)</f>
        <v>146610.367</v>
      </c>
      <c r="K60" s="254">
        <f>SUMIFS(Data!$J:$J,Data!$H:$H,$I$60,Data!$E:$E,K$56,Data!$F:$F,K$57,Data!$C:$C,$J$7)</f>
        <v>153871.84</v>
      </c>
      <c r="L60" s="254">
        <f>SUMIFS(Data!$J:$J,Data!$H:$H,$I$60,Data!$E:$E,L$56,Data!$F:$F,L$57,Data!$C:$C,$J$7)</f>
        <v>150456.43</v>
      </c>
      <c r="M60" s="254">
        <f>SUMIFS(Data!$J:$J,Data!$H:$H,$I$60,Data!$E:$E,M$56,Data!$F:$F,M$57,Data!$C:$C,$J$7)</f>
        <v>130853.378</v>
      </c>
      <c r="N60" s="221"/>
      <c r="O60" s="221"/>
      <c r="P60" s="221"/>
      <c r="Q60" s="242"/>
      <c r="R60" s="242"/>
      <c r="S60" s="242"/>
      <c r="T60" s="242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</row>
    <row r="61" spans="1:36" ht="15.75" customHeight="1" thickTop="1" thickBot="1" x14ac:dyDescent="0.25">
      <c r="A61" s="164"/>
      <c r="B61" s="170" t="s">
        <v>110</v>
      </c>
      <c r="C61" s="223">
        <f>C52/C60</f>
        <v>2.2187731267114965</v>
      </c>
      <c r="D61" s="223">
        <f>D52/D60</f>
        <v>2.6710940929096578</v>
      </c>
      <c r="E61" s="223">
        <f t="shared" ref="E61:F61" si="8">E52/E60</f>
        <v>2.9647777747961985</v>
      </c>
      <c r="F61" s="223">
        <f t="shared" si="8"/>
        <v>3.3773823139650885</v>
      </c>
      <c r="G61" s="164"/>
      <c r="H61" s="164"/>
      <c r="I61" s="170" t="s">
        <v>110</v>
      </c>
      <c r="J61" s="223">
        <f>J52/J60</f>
        <v>2.0273092405532278</v>
      </c>
      <c r="K61" s="223">
        <f>K52/K60</f>
        <v>2.4829358278941744</v>
      </c>
      <c r="L61" s="223">
        <f t="shared" ref="L61" si="9">L52/L60</f>
        <v>2.841808065364837</v>
      </c>
      <c r="M61" s="223">
        <f t="shared" ref="M61" si="10">M52/M60</f>
        <v>3.2343758245965955</v>
      </c>
      <c r="N61" s="221"/>
      <c r="O61" s="221"/>
      <c r="P61" s="221"/>
      <c r="Q61" s="241"/>
      <c r="R61" s="241"/>
      <c r="S61" s="241"/>
      <c r="T61" s="241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</row>
    <row r="62" spans="1:36" ht="15.75" customHeight="1" thickTop="1" thickBot="1" x14ac:dyDescent="0.25">
      <c r="A62" s="164"/>
      <c r="B62" s="217" t="s">
        <v>77</v>
      </c>
      <c r="C62" s="220">
        <f>C61/$C$61</f>
        <v>1</v>
      </c>
      <c r="D62" s="220">
        <f t="shared" ref="D62:F62" si="11">D61/$C$61</f>
        <v>1.2038608457767641</v>
      </c>
      <c r="E62" s="220">
        <f t="shared" si="11"/>
        <v>1.336223942458856</v>
      </c>
      <c r="F62" s="220">
        <f t="shared" si="11"/>
        <v>1.5221846133366497</v>
      </c>
      <c r="G62" s="164"/>
      <c r="H62" s="164"/>
      <c r="I62" s="217" t="s">
        <v>77</v>
      </c>
      <c r="J62" s="220">
        <f>J61/$J$61</f>
        <v>1</v>
      </c>
      <c r="K62" s="220">
        <f t="shared" ref="K62:M62" si="12">K61/$J$61</f>
        <v>1.2247444929598466</v>
      </c>
      <c r="L62" s="220">
        <f t="shared" si="12"/>
        <v>1.4017634845828171</v>
      </c>
      <c r="M62" s="220">
        <f t="shared" si="12"/>
        <v>1.595403286236674</v>
      </c>
      <c r="N62" s="221"/>
      <c r="O62" s="221"/>
      <c r="P62" s="221"/>
      <c r="Q62" s="243"/>
      <c r="R62" s="243"/>
      <c r="S62" s="243"/>
      <c r="T62" s="243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</row>
    <row r="63" spans="1:36" ht="15.75" hidden="1" customHeight="1" thickTop="1" thickBot="1" x14ac:dyDescent="0.25">
      <c r="A63" s="164"/>
      <c r="B63" s="219" t="e">
        <f>'Input keuzevariabelen'!#REF!</f>
        <v>#REF!</v>
      </c>
      <c r="C63" s="254">
        <f>SUMIFS(Data!$J:$J,Data!$H:$H,$B$63,Data!$E:$E,C$56,Data!$F:$F,C$57)</f>
        <v>0</v>
      </c>
      <c r="D63" s="254">
        <f>SUMIFS(Data!$J:$J,Data!$H:$H,$B$63,Data!$E:$E,D$56,Data!$F:$F,D$57)</f>
        <v>0</v>
      </c>
      <c r="E63" s="254">
        <f>SUMIFS(Data!$J:$J,Data!$H:$H,$B$63,Data!$E:$E,E$56,Data!$F:$F,E$57)</f>
        <v>0</v>
      </c>
      <c r="F63" s="254">
        <f>SUMIFS(Data!$J:$J,Data!$H:$H,$B$63,Data!$E:$E,F$56,Data!$F:$F,F$57)</f>
        <v>0</v>
      </c>
      <c r="G63" s="164"/>
      <c r="H63" s="164"/>
      <c r="I63" s="219" t="e">
        <f>'Input keuzevariabelen'!#REF!</f>
        <v>#REF!</v>
      </c>
      <c r="J63" s="254">
        <f>SUMIFS(Data!$J:$J,Data!$H:$H,$I$63,Data!$E:$E,J$56,Data!$F:$F,J$57,Data!$C:$C,$J$7)</f>
        <v>0</v>
      </c>
      <c r="K63" s="254">
        <f>SUMIFS(Data!$J:$J,Data!$H:$H,$I$63,Data!$E:$E,K$56,Data!$F:$F,K$57,Data!$C:$C,$J$7)</f>
        <v>0</v>
      </c>
      <c r="L63" s="254">
        <f>SUMIFS(Data!$J:$J,Data!$H:$H,$I$63,Data!$E:$E,L$56,Data!$F:$F,L$57,Data!$C:$C,$J$7)</f>
        <v>0</v>
      </c>
      <c r="M63" s="254">
        <f>SUMIFS(Data!$J:$J,Data!$H:$H,$I$63,Data!$E:$E,M$56,Data!$F:$F,M$57,Data!$C:$C,$J$7)</f>
        <v>0</v>
      </c>
      <c r="N63" s="221"/>
      <c r="O63" s="221"/>
      <c r="P63" s="221"/>
      <c r="Q63" s="242"/>
      <c r="R63" s="242"/>
      <c r="S63" s="242"/>
      <c r="T63" s="242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</row>
    <row r="64" spans="1:36" ht="15.75" hidden="1" customHeight="1" thickTop="1" thickBot="1" x14ac:dyDescent="0.25">
      <c r="A64" s="164"/>
      <c r="B64" s="170" t="s">
        <v>76</v>
      </c>
      <c r="C64" s="223" t="e">
        <f>C52/C63</f>
        <v>#DIV/0!</v>
      </c>
      <c r="D64" s="223" t="e">
        <f t="shared" ref="D64:F64" si="13">D52/D63</f>
        <v>#DIV/0!</v>
      </c>
      <c r="E64" s="223" t="e">
        <f t="shared" si="13"/>
        <v>#DIV/0!</v>
      </c>
      <c r="F64" s="223" t="e">
        <f t="shared" si="13"/>
        <v>#DIV/0!</v>
      </c>
      <c r="G64" s="164"/>
      <c r="H64" s="164"/>
      <c r="I64" s="170" t="s">
        <v>76</v>
      </c>
      <c r="J64" s="223" t="e">
        <f>J52/J63</f>
        <v>#DIV/0!</v>
      </c>
      <c r="K64" s="223" t="e">
        <f t="shared" ref="K64" si="14">K52/K63</f>
        <v>#DIV/0!</v>
      </c>
      <c r="L64" s="223" t="e">
        <f t="shared" ref="L64" si="15">L52/L63</f>
        <v>#DIV/0!</v>
      </c>
      <c r="M64" s="223" t="e">
        <f t="shared" ref="M64" si="16">M52/M63</f>
        <v>#DIV/0!</v>
      </c>
      <c r="N64" s="221"/>
      <c r="O64" s="221"/>
      <c r="P64" s="221"/>
      <c r="Q64" s="241"/>
      <c r="R64" s="241"/>
      <c r="S64" s="241"/>
      <c r="T64" s="241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</row>
    <row r="65" spans="1:36" ht="15.75" hidden="1" customHeight="1" thickTop="1" thickBot="1" x14ac:dyDescent="0.25">
      <c r="A65" s="164"/>
      <c r="B65" s="217" t="s">
        <v>78</v>
      </c>
      <c r="C65" s="220" t="e">
        <f>C64/$C$64</f>
        <v>#DIV/0!</v>
      </c>
      <c r="D65" s="220" t="e">
        <f t="shared" ref="D65:F65" si="17">D64/$C$64</f>
        <v>#DIV/0!</v>
      </c>
      <c r="E65" s="220" t="e">
        <f t="shared" si="17"/>
        <v>#DIV/0!</v>
      </c>
      <c r="F65" s="220" t="e">
        <f t="shared" si="17"/>
        <v>#DIV/0!</v>
      </c>
      <c r="G65" s="164"/>
      <c r="H65" s="164"/>
      <c r="I65" s="217" t="s">
        <v>78</v>
      </c>
      <c r="J65" s="220" t="e">
        <f>J64/$J$64</f>
        <v>#DIV/0!</v>
      </c>
      <c r="K65" s="220" t="e">
        <f t="shared" ref="K65:M65" si="18">K64/$J$64</f>
        <v>#DIV/0!</v>
      </c>
      <c r="L65" s="220" t="e">
        <f t="shared" si="18"/>
        <v>#DIV/0!</v>
      </c>
      <c r="M65" s="220" t="e">
        <f t="shared" si="18"/>
        <v>#DIV/0!</v>
      </c>
      <c r="N65" s="221"/>
      <c r="O65" s="221"/>
      <c r="P65" s="221"/>
      <c r="Q65" s="243"/>
      <c r="R65" s="243"/>
      <c r="S65" s="243"/>
      <c r="T65" s="243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</row>
    <row r="66" spans="1:36" ht="15.75" hidden="1" customHeight="1" thickTop="1" thickBot="1" x14ac:dyDescent="0.25">
      <c r="A66" s="164"/>
      <c r="B66" s="219" t="e">
        <f>'Input keuzevariabelen'!#REF!</f>
        <v>#REF!</v>
      </c>
      <c r="C66" s="254">
        <f>SUMIFS(Data!$J:$J,Data!$H:$H,$B$66,Data!$E:$E,C$56,Data!$F:$F,C$57)</f>
        <v>0</v>
      </c>
      <c r="D66" s="254">
        <f>SUMIFS(Data!$J:$J,Data!$H:$H,$B$66,Data!$E:$E,D$56,Data!$F:$F,D$57)</f>
        <v>0</v>
      </c>
      <c r="E66" s="254">
        <f>SUMIFS(Data!$J:$J,Data!$H:$H,$B$66,Data!$E:$E,E$56,Data!$F:$F,E$57)</f>
        <v>0</v>
      </c>
      <c r="F66" s="254">
        <f>SUMIFS(Data!$J:$J,Data!$H:$H,$B$66,Data!$E:$E,F$56,Data!$F:$F,F$57)</f>
        <v>0</v>
      </c>
      <c r="G66" s="164"/>
      <c r="H66" s="164"/>
      <c r="I66" s="219" t="e">
        <f>'Input keuzevariabelen'!#REF!</f>
        <v>#REF!</v>
      </c>
      <c r="J66" s="254">
        <f>SUMIFS(Data!$J:$J,Data!$H:$H,$I$66,Data!$E:$E,J$56,Data!$F:$F,J$57,Data!$C:$C,$J$7)</f>
        <v>0</v>
      </c>
      <c r="K66" s="254">
        <f>SUMIFS(Data!$J:$J,Data!$H:$H,$I$66,Data!$E:$E,K$56,Data!$F:$F,K$57,Data!$C:$C,$J$7)</f>
        <v>0</v>
      </c>
      <c r="L66" s="254">
        <f>SUMIFS(Data!$J:$J,Data!$H:$H,$I$66,Data!$E:$E,L$56,Data!$F:$F,L$57,Data!$C:$C,$J$7)</f>
        <v>0</v>
      </c>
      <c r="M66" s="254">
        <f>SUMIFS(Data!$J:$J,Data!$H:$H,$I$66,Data!$E:$E,M$56,Data!$F:$F,M$57,Data!$C:$C,$J$7)</f>
        <v>0</v>
      </c>
      <c r="N66" s="221"/>
      <c r="O66" s="221"/>
      <c r="P66" s="221"/>
      <c r="Q66" s="242"/>
      <c r="R66" s="242"/>
      <c r="S66" s="242"/>
      <c r="T66" s="242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</row>
    <row r="67" spans="1:36" ht="15.75" hidden="1" customHeight="1" thickTop="1" thickBot="1" x14ac:dyDescent="0.25">
      <c r="A67" s="164"/>
      <c r="B67" s="170" t="s">
        <v>76</v>
      </c>
      <c r="C67" s="223" t="e">
        <f>C52/C66</f>
        <v>#DIV/0!</v>
      </c>
      <c r="D67" s="223" t="e">
        <f t="shared" ref="D67:F67" si="19">D52/D66</f>
        <v>#DIV/0!</v>
      </c>
      <c r="E67" s="223" t="e">
        <f t="shared" si="19"/>
        <v>#DIV/0!</v>
      </c>
      <c r="F67" s="223" t="e">
        <f t="shared" si="19"/>
        <v>#DIV/0!</v>
      </c>
      <c r="G67" s="164"/>
      <c r="H67" s="164"/>
      <c r="I67" s="170" t="s">
        <v>76</v>
      </c>
      <c r="J67" s="223" t="e">
        <f>J52/J66</f>
        <v>#DIV/0!</v>
      </c>
      <c r="K67" s="223" t="e">
        <f t="shared" ref="K67" si="20">K52/K66</f>
        <v>#DIV/0!</v>
      </c>
      <c r="L67" s="223" t="e">
        <f t="shared" ref="L67" si="21">L52/L66</f>
        <v>#DIV/0!</v>
      </c>
      <c r="M67" s="223" t="e">
        <f t="shared" ref="M67" si="22">M52/M66</f>
        <v>#DIV/0!</v>
      </c>
      <c r="N67" s="221"/>
      <c r="O67" s="221"/>
      <c r="P67" s="221"/>
      <c r="Q67" s="241"/>
      <c r="R67" s="241"/>
      <c r="S67" s="241"/>
      <c r="T67" s="241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</row>
    <row r="68" spans="1:36" ht="15.75" hidden="1" customHeight="1" thickTop="1" thickBot="1" x14ac:dyDescent="0.25">
      <c r="A68" s="164"/>
      <c r="B68" s="217" t="s">
        <v>111</v>
      </c>
      <c r="C68" s="220" t="e">
        <f>C67/$C$67</f>
        <v>#DIV/0!</v>
      </c>
      <c r="D68" s="220" t="e">
        <f t="shared" ref="D68:F68" si="23">D67/$C$67</f>
        <v>#DIV/0!</v>
      </c>
      <c r="E68" s="220" t="e">
        <f t="shared" si="23"/>
        <v>#DIV/0!</v>
      </c>
      <c r="F68" s="220" t="e">
        <f t="shared" si="23"/>
        <v>#DIV/0!</v>
      </c>
      <c r="G68" s="164"/>
      <c r="H68" s="164"/>
      <c r="I68" s="217" t="s">
        <v>111</v>
      </c>
      <c r="J68" s="220" t="e">
        <f>J67/$J$67</f>
        <v>#DIV/0!</v>
      </c>
      <c r="K68" s="220" t="e">
        <f t="shared" ref="K68:M68" si="24">K67/$J$67</f>
        <v>#DIV/0!</v>
      </c>
      <c r="L68" s="220" t="e">
        <f t="shared" si="24"/>
        <v>#DIV/0!</v>
      </c>
      <c r="M68" s="220" t="e">
        <f t="shared" si="24"/>
        <v>#DIV/0!</v>
      </c>
      <c r="N68" s="221"/>
      <c r="O68" s="221"/>
      <c r="P68" s="221"/>
      <c r="Q68" s="243"/>
      <c r="R68" s="243"/>
      <c r="S68" s="243"/>
      <c r="T68" s="243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</row>
    <row r="69" spans="1:36" ht="15.75" customHeight="1" thickTop="1" thickBot="1" x14ac:dyDescent="0.25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221"/>
      <c r="O69" s="221"/>
      <c r="P69" s="221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</row>
    <row r="70" spans="1:36" ht="15.75" customHeight="1" thickTop="1" thickBot="1" x14ac:dyDescent="0.25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221"/>
      <c r="O70" s="221"/>
      <c r="P70" s="221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</row>
    <row r="71" spans="1:36" ht="15.75" customHeight="1" thickTop="1" x14ac:dyDescent="0.2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221"/>
      <c r="O71" s="221"/>
      <c r="P71" s="221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</row>
    <row r="72" spans="1:36" ht="15.75" customHeight="1" x14ac:dyDescent="0.2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</row>
    <row r="73" spans="1:36" ht="15.75" customHeight="1" x14ac:dyDescent="0.2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</row>
    <row r="74" spans="1:36" ht="15.75" customHeight="1" x14ac:dyDescent="0.2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</row>
    <row r="75" spans="1:36" ht="15.75" customHeight="1" x14ac:dyDescent="0.2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</row>
    <row r="76" spans="1:36" ht="15.75" customHeight="1" x14ac:dyDescent="0.2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</row>
    <row r="77" spans="1:36" ht="15.75" customHeight="1" x14ac:dyDescent="0.2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</row>
    <row r="78" spans="1:36" ht="15.75" customHeight="1" x14ac:dyDescent="0.2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</row>
    <row r="79" spans="1:36" ht="15.75" customHeight="1" x14ac:dyDescent="0.2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</row>
    <row r="80" spans="1:36" ht="15.75" customHeight="1" x14ac:dyDescent="0.2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</row>
    <row r="81" spans="1:36" ht="15.75" customHeight="1" x14ac:dyDescent="0.2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</row>
    <row r="82" spans="1:36" ht="15.75" customHeight="1" x14ac:dyDescent="0.2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</row>
    <row r="83" spans="1:36" ht="15.75" customHeight="1" x14ac:dyDescent="0.2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</row>
    <row r="84" spans="1:36" ht="15.75" customHeight="1" x14ac:dyDescent="0.2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</row>
    <row r="85" spans="1:36" ht="15.75" customHeight="1" x14ac:dyDescent="0.2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</row>
    <row r="86" spans="1:36" ht="15.75" customHeight="1" x14ac:dyDescent="0.2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</row>
    <row r="87" spans="1:36" ht="15.75" customHeight="1" x14ac:dyDescent="0.2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</row>
    <row r="88" spans="1:36" ht="15.75" customHeight="1" x14ac:dyDescent="0.2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</row>
    <row r="89" spans="1:36" ht="15.75" customHeight="1" x14ac:dyDescent="0.2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</row>
    <row r="90" spans="1:36" ht="15.75" customHeight="1" x14ac:dyDescent="0.2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</row>
    <row r="91" spans="1:36" ht="15.75" customHeight="1" x14ac:dyDescent="0.2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</row>
    <row r="92" spans="1:36" ht="15.75" customHeight="1" x14ac:dyDescent="0.2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</row>
    <row r="93" spans="1:36" ht="15.75" customHeight="1" x14ac:dyDescent="0.2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</row>
    <row r="94" spans="1:36" ht="15.75" customHeight="1" x14ac:dyDescent="0.2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</row>
    <row r="95" spans="1:36" ht="15.75" customHeight="1" x14ac:dyDescent="0.2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</row>
    <row r="96" spans="1:36" ht="15.75" customHeight="1" x14ac:dyDescent="0.2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</row>
    <row r="97" spans="1:36" ht="15.75" customHeight="1" x14ac:dyDescent="0.2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</row>
    <row r="98" spans="1:36" ht="15.75" customHeight="1" x14ac:dyDescent="0.2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</row>
    <row r="99" spans="1:36" ht="15.75" customHeight="1" x14ac:dyDescent="0.2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</row>
    <row r="100" spans="1:36" ht="15.75" customHeight="1" x14ac:dyDescent="0.2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</row>
    <row r="101" spans="1:36" ht="15.75" customHeight="1" x14ac:dyDescent="0.2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</row>
    <row r="102" spans="1:36" ht="15.75" customHeight="1" x14ac:dyDescent="0.2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</row>
    <row r="103" spans="1:36" ht="15.75" customHeight="1" x14ac:dyDescent="0.2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</row>
    <row r="104" spans="1:36" ht="15.75" customHeight="1" x14ac:dyDescent="0.2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</row>
    <row r="105" spans="1:36" ht="15.75" customHeight="1" x14ac:dyDescent="0.2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</row>
    <row r="106" spans="1:36" ht="15.75" customHeight="1" x14ac:dyDescent="0.2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</row>
    <row r="107" spans="1:36" ht="15.75" customHeight="1" x14ac:dyDescent="0.2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</row>
    <row r="108" spans="1:36" ht="15.75" customHeight="1" x14ac:dyDescent="0.2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</row>
    <row r="109" spans="1:36" ht="15.75" customHeight="1" x14ac:dyDescent="0.2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</row>
    <row r="110" spans="1:36" ht="15.75" customHeight="1" x14ac:dyDescent="0.2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</row>
    <row r="111" spans="1:36" ht="15.75" customHeight="1" x14ac:dyDescent="0.2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</row>
    <row r="112" spans="1:36" ht="15.75" customHeight="1" x14ac:dyDescent="0.2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</row>
    <row r="113" spans="1:36" ht="15.75" customHeight="1" x14ac:dyDescent="0.2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</row>
    <row r="114" spans="1:36" ht="15.75" customHeight="1" x14ac:dyDescent="0.2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</row>
    <row r="115" spans="1:36" ht="15.75" customHeight="1" x14ac:dyDescent="0.2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</row>
    <row r="116" spans="1:36" ht="15.75" customHeight="1" x14ac:dyDescent="0.2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</row>
    <row r="117" spans="1:36" ht="15.75" customHeight="1" x14ac:dyDescent="0.2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</row>
    <row r="118" spans="1:36" ht="15.75" customHeight="1" x14ac:dyDescent="0.2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</row>
    <row r="119" spans="1:36" ht="15.75" customHeight="1" x14ac:dyDescent="0.2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</row>
    <row r="120" spans="1:36" ht="15.75" customHeight="1" x14ac:dyDescent="0.2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</row>
    <row r="121" spans="1:36" ht="15.75" customHeight="1" x14ac:dyDescent="0.2">
      <c r="A121" s="164"/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</row>
    <row r="122" spans="1:36" ht="15.75" customHeight="1" x14ac:dyDescent="0.2">
      <c r="A122" s="164"/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</row>
    <row r="123" spans="1:36" ht="15.75" customHeight="1" x14ac:dyDescent="0.2">
      <c r="A123" s="164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</row>
    <row r="124" spans="1:36" ht="15.75" customHeight="1" x14ac:dyDescent="0.2">
      <c r="A124" s="164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</row>
    <row r="125" spans="1:36" ht="15.75" customHeight="1" x14ac:dyDescent="0.2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</row>
    <row r="126" spans="1:36" ht="15.75" customHeight="1" x14ac:dyDescent="0.2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</row>
    <row r="127" spans="1:36" ht="15.75" customHeight="1" x14ac:dyDescent="0.2">
      <c r="A127" s="164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</row>
    <row r="128" spans="1:36" ht="15.75" customHeight="1" x14ac:dyDescent="0.2">
      <c r="A128" s="164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</row>
    <row r="129" spans="1:36" ht="15.75" customHeight="1" x14ac:dyDescent="0.2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</row>
    <row r="130" spans="1:36" ht="15.75" customHeight="1" x14ac:dyDescent="0.2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</row>
    <row r="131" spans="1:36" ht="15.75" customHeight="1" x14ac:dyDescent="0.2">
      <c r="A131" s="164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</row>
    <row r="132" spans="1:36" ht="15.75" customHeight="1" x14ac:dyDescent="0.2">
      <c r="A132" s="164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</row>
    <row r="133" spans="1:36" ht="15.75" customHeight="1" x14ac:dyDescent="0.2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</row>
    <row r="134" spans="1:36" ht="15.75" customHeight="1" x14ac:dyDescent="0.2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</row>
    <row r="135" spans="1:36" ht="15.75" customHeight="1" x14ac:dyDescent="0.2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</row>
    <row r="136" spans="1:36" ht="15.75" customHeight="1" x14ac:dyDescent="0.2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</row>
    <row r="137" spans="1:36" ht="15.75" customHeight="1" x14ac:dyDescent="0.2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</row>
    <row r="138" spans="1:36" ht="15.75" customHeight="1" x14ac:dyDescent="0.2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</row>
    <row r="139" spans="1:36" ht="15.75" customHeight="1" x14ac:dyDescent="0.2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</row>
    <row r="140" spans="1:36" ht="15.75" customHeight="1" x14ac:dyDescent="0.2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</row>
    <row r="141" spans="1:36" ht="15.75" customHeight="1" x14ac:dyDescent="0.2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</row>
    <row r="142" spans="1:36" ht="15.75" customHeight="1" x14ac:dyDescent="0.2">
      <c r="A142" s="164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</row>
    <row r="143" spans="1:36" ht="15.75" customHeight="1" x14ac:dyDescent="0.2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</row>
    <row r="144" spans="1:36" ht="15.75" customHeight="1" x14ac:dyDescent="0.2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</row>
    <row r="145" spans="1:36" ht="15.75" customHeight="1" x14ac:dyDescent="0.2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</row>
    <row r="146" spans="1:36" ht="15.75" customHeight="1" x14ac:dyDescent="0.2">
      <c r="A146" s="164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</row>
    <row r="147" spans="1:36" ht="15.75" customHeight="1" x14ac:dyDescent="0.2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</row>
    <row r="148" spans="1:36" ht="15.75" customHeight="1" x14ac:dyDescent="0.2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</row>
    <row r="149" spans="1:36" ht="15.75" customHeight="1" x14ac:dyDescent="0.2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</row>
    <row r="150" spans="1:36" ht="15" customHeight="1" x14ac:dyDescent="0.2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</row>
    <row r="151" spans="1:36" ht="15.75" customHeight="1" x14ac:dyDescent="0.2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</row>
    <row r="152" spans="1:36" ht="15.75" customHeight="1" x14ac:dyDescent="0.2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</row>
    <row r="153" spans="1:36" ht="15.75" customHeight="1" x14ac:dyDescent="0.2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</row>
    <row r="154" spans="1:36" ht="15.75" customHeight="1" x14ac:dyDescent="0.2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</row>
    <row r="155" spans="1:36" ht="15.75" customHeight="1" x14ac:dyDescent="0.2">
      <c r="A155" s="164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</row>
    <row r="156" spans="1:36" ht="15.75" customHeight="1" x14ac:dyDescent="0.2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</row>
    <row r="157" spans="1:36" ht="15.75" customHeight="1" x14ac:dyDescent="0.2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</row>
    <row r="158" spans="1:36" ht="15.75" customHeight="1" x14ac:dyDescent="0.2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</row>
    <row r="159" spans="1:36" ht="15.75" customHeight="1" x14ac:dyDescent="0.2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</row>
    <row r="160" spans="1:36" ht="15.75" customHeight="1" x14ac:dyDescent="0.2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</row>
    <row r="161" spans="1:36" ht="15.75" customHeight="1" x14ac:dyDescent="0.2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</row>
    <row r="162" spans="1:36" ht="15.75" customHeight="1" x14ac:dyDescent="0.2">
      <c r="A162" s="164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</row>
    <row r="163" spans="1:36" ht="15.75" customHeight="1" x14ac:dyDescent="0.2">
      <c r="A163" s="164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</row>
    <row r="164" spans="1:36" ht="15.75" customHeight="1" x14ac:dyDescent="0.2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</row>
    <row r="165" spans="1:36" ht="15.75" customHeight="1" x14ac:dyDescent="0.2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</row>
    <row r="166" spans="1:36" ht="15.75" customHeight="1" x14ac:dyDescent="0.2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</row>
    <row r="167" spans="1:36" ht="15.75" customHeight="1" x14ac:dyDescent="0.2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</row>
    <row r="168" spans="1:36" ht="15.75" customHeight="1" x14ac:dyDescent="0.2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</row>
    <row r="169" spans="1:36" ht="15.75" customHeight="1" x14ac:dyDescent="0.2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</row>
    <row r="170" spans="1:36" ht="15.75" customHeight="1" x14ac:dyDescent="0.2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</row>
    <row r="171" spans="1:36" ht="15.75" customHeight="1" x14ac:dyDescent="0.2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</row>
    <row r="172" spans="1:36" ht="15.75" customHeight="1" x14ac:dyDescent="0.2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</row>
    <row r="173" spans="1:36" ht="15.75" customHeight="1" x14ac:dyDescent="0.2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</row>
    <row r="174" spans="1:36" ht="15.75" customHeight="1" x14ac:dyDescent="0.2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</row>
    <row r="175" spans="1:36" ht="15.75" customHeight="1" x14ac:dyDescent="0.2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</row>
    <row r="176" spans="1:36" ht="15.75" customHeight="1" x14ac:dyDescent="0.2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</row>
    <row r="177" spans="1:36" ht="15.75" customHeight="1" x14ac:dyDescent="0.2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</row>
    <row r="178" spans="1:36" ht="15.75" customHeight="1" x14ac:dyDescent="0.2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</row>
    <row r="179" spans="1:36" ht="15.75" customHeight="1" x14ac:dyDescent="0.2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</row>
    <row r="180" spans="1:36" ht="15.75" customHeight="1" x14ac:dyDescent="0.2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</row>
    <row r="181" spans="1:36" ht="15.75" customHeight="1" x14ac:dyDescent="0.2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</row>
    <row r="182" spans="1:36" ht="15.75" customHeight="1" x14ac:dyDescent="0.2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</row>
    <row r="183" spans="1:36" ht="15.75" customHeight="1" x14ac:dyDescent="0.2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</row>
    <row r="184" spans="1:36" ht="15.75" customHeight="1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</row>
    <row r="185" spans="1:36" ht="15.75" customHeight="1" x14ac:dyDescent="0.2">
      <c r="A185" s="164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</row>
    <row r="186" spans="1:36" ht="15.75" customHeight="1" x14ac:dyDescent="0.2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</row>
    <row r="187" spans="1:36" ht="15.75" customHeight="1" x14ac:dyDescent="0.2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</row>
    <row r="188" spans="1:36" ht="15.75" customHeight="1" x14ac:dyDescent="0.2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</row>
    <row r="189" spans="1:36" ht="15.75" customHeight="1" x14ac:dyDescent="0.2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</row>
    <row r="190" spans="1:36" ht="15.75" customHeight="1" x14ac:dyDescent="0.2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</row>
    <row r="191" spans="1:36" ht="15.75" customHeight="1" x14ac:dyDescent="0.2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</row>
    <row r="192" spans="1:36" ht="15.75" customHeight="1" x14ac:dyDescent="0.2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</row>
    <row r="193" spans="1:36" ht="15.75" customHeight="1" x14ac:dyDescent="0.2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</row>
    <row r="194" spans="1:36" ht="15.75" customHeight="1" x14ac:dyDescent="0.2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</row>
    <row r="195" spans="1:36" ht="15.75" customHeight="1" x14ac:dyDescent="0.2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</row>
    <row r="196" spans="1:36" ht="15.75" customHeight="1" x14ac:dyDescent="0.2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</row>
    <row r="197" spans="1:36" ht="15.75" customHeight="1" x14ac:dyDescent="0.2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</row>
    <row r="198" spans="1:36" ht="15.75" customHeight="1" x14ac:dyDescent="0.2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</row>
    <row r="199" spans="1:36" ht="15.75" customHeight="1" x14ac:dyDescent="0.2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</row>
    <row r="200" spans="1:36" ht="15.75" customHeight="1" x14ac:dyDescent="0.2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</row>
    <row r="201" spans="1:36" ht="15.75" customHeight="1" x14ac:dyDescent="0.2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</row>
    <row r="202" spans="1:36" ht="15.75" customHeight="1" x14ac:dyDescent="0.2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</row>
    <row r="203" spans="1:36" ht="15.75" customHeight="1" x14ac:dyDescent="0.2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</row>
    <row r="204" spans="1:36" ht="15.75" customHeight="1" x14ac:dyDescent="0.2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</row>
    <row r="205" spans="1:36" ht="15.75" customHeight="1" x14ac:dyDescent="0.2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</row>
    <row r="206" spans="1:36" ht="15.75" customHeight="1" x14ac:dyDescent="0.2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</row>
    <row r="207" spans="1:36" ht="15.75" customHeight="1" x14ac:dyDescent="0.2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</row>
    <row r="208" spans="1:36" ht="15.75" customHeight="1" x14ac:dyDescent="0.2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</row>
    <row r="209" spans="1:36" ht="15.75" customHeight="1" x14ac:dyDescent="0.2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</row>
    <row r="210" spans="1:36" ht="15.75" customHeight="1" x14ac:dyDescent="0.2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</row>
    <row r="211" spans="1:36" ht="15.75" customHeight="1" x14ac:dyDescent="0.2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</row>
    <row r="212" spans="1:36" ht="15.75" customHeight="1" x14ac:dyDescent="0.2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</row>
    <row r="213" spans="1:36" ht="15.75" customHeight="1" x14ac:dyDescent="0.2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</row>
    <row r="214" spans="1:36" ht="15.75" customHeight="1" x14ac:dyDescent="0.2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</row>
    <row r="215" spans="1:36" ht="15.75" customHeight="1" x14ac:dyDescent="0.2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</row>
    <row r="216" spans="1:36" ht="15.75" customHeight="1" x14ac:dyDescent="0.2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</row>
    <row r="217" spans="1:36" ht="15.75" customHeight="1" x14ac:dyDescent="0.2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</row>
    <row r="218" spans="1:36" ht="15.75" customHeight="1" x14ac:dyDescent="0.2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</row>
    <row r="219" spans="1:36" ht="15.75" customHeight="1" x14ac:dyDescent="0.2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</row>
    <row r="220" spans="1:36" ht="15.75" customHeight="1" x14ac:dyDescent="0.2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</row>
    <row r="221" spans="1:36" ht="15.75" customHeight="1" x14ac:dyDescent="0.2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</row>
    <row r="222" spans="1:36" ht="15.75" customHeight="1" x14ac:dyDescent="0.2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</row>
    <row r="223" spans="1:36" ht="15.75" customHeight="1" x14ac:dyDescent="0.2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</row>
    <row r="224" spans="1:36" ht="15.75" customHeight="1" x14ac:dyDescent="0.2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</row>
    <row r="225" spans="1:36" ht="15.75" customHeight="1" x14ac:dyDescent="0.2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</row>
    <row r="226" spans="1:36" ht="15.75" customHeight="1" x14ac:dyDescent="0.2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</row>
    <row r="227" spans="1:36" ht="15.75" customHeight="1" x14ac:dyDescent="0.2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</row>
    <row r="228" spans="1:36" ht="15.75" customHeight="1" x14ac:dyDescent="0.2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</row>
    <row r="229" spans="1:36" ht="140.25" customHeight="1" x14ac:dyDescent="0.2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</row>
    <row r="230" spans="1:36" ht="15.75" customHeight="1" x14ac:dyDescent="0.2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</row>
    <row r="231" spans="1:36" ht="15.75" customHeight="1" x14ac:dyDescent="0.2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</row>
    <row r="232" spans="1:36" ht="15.75" customHeight="1" x14ac:dyDescent="0.2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</row>
    <row r="233" spans="1:36" ht="15.75" customHeight="1" x14ac:dyDescent="0.2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</row>
    <row r="234" spans="1:36" ht="15.75" customHeight="1" x14ac:dyDescent="0.2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</row>
    <row r="235" spans="1:36" ht="15.75" customHeight="1" x14ac:dyDescent="0.2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</row>
    <row r="236" spans="1:36" ht="15.75" customHeight="1" x14ac:dyDescent="0.2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</row>
    <row r="237" spans="1:36" ht="15.75" customHeight="1" x14ac:dyDescent="0.2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</row>
    <row r="238" spans="1:36" ht="15.75" customHeight="1" x14ac:dyDescent="0.2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</row>
    <row r="239" spans="1:36" ht="15.75" customHeight="1" x14ac:dyDescent="0.2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</row>
    <row r="240" spans="1:36" ht="15.75" customHeight="1" x14ac:dyDescent="0.2">
      <c r="A240" s="164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</row>
    <row r="241" spans="1:36" ht="15.75" customHeight="1" x14ac:dyDescent="0.2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</row>
    <row r="242" spans="1:36" ht="15.75" customHeight="1" x14ac:dyDescent="0.2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</row>
    <row r="243" spans="1:36" ht="15.75" customHeight="1" x14ac:dyDescent="0.2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</row>
    <row r="244" spans="1:36" ht="15.75" customHeight="1" x14ac:dyDescent="0.2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</row>
    <row r="245" spans="1:36" ht="15.75" customHeight="1" x14ac:dyDescent="0.2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</row>
    <row r="246" spans="1:36" ht="15.75" customHeight="1" x14ac:dyDescent="0.2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</row>
    <row r="247" spans="1:36" ht="15.75" customHeight="1" x14ac:dyDescent="0.2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</row>
    <row r="248" spans="1:36" ht="15.75" customHeight="1" x14ac:dyDescent="0.2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</row>
    <row r="249" spans="1:36" ht="15.75" customHeight="1" x14ac:dyDescent="0.2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</row>
    <row r="250" spans="1:36" ht="15.75" customHeight="1" x14ac:dyDescent="0.2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</row>
    <row r="251" spans="1:36" ht="15.75" customHeight="1" x14ac:dyDescent="0.2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</row>
    <row r="252" spans="1:36" ht="15.75" customHeight="1" x14ac:dyDescent="0.2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</row>
    <row r="253" spans="1:36" ht="15.75" customHeight="1" x14ac:dyDescent="0.2">
      <c r="A253" s="164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</row>
    <row r="254" spans="1:36" ht="15.75" customHeight="1" x14ac:dyDescent="0.2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</row>
    <row r="255" spans="1:36" ht="15.75" customHeight="1" x14ac:dyDescent="0.2">
      <c r="A255" s="164"/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</row>
    <row r="256" spans="1:36" ht="15.75" customHeight="1" x14ac:dyDescent="0.2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</row>
    <row r="257" spans="1:36" ht="15.75" customHeight="1" x14ac:dyDescent="0.2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</row>
    <row r="258" spans="1:36" ht="15.75" customHeight="1" x14ac:dyDescent="0.2">
      <c r="A258" s="164"/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</row>
    <row r="259" spans="1:36" ht="15.75" customHeight="1" x14ac:dyDescent="0.2">
      <c r="A259" s="164"/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</row>
    <row r="260" spans="1:36" ht="15.75" customHeight="1" x14ac:dyDescent="0.2">
      <c r="A260" s="164"/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</row>
    <row r="261" spans="1:36" ht="15.75" customHeight="1" x14ac:dyDescent="0.2">
      <c r="A261" s="164"/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</row>
    <row r="262" spans="1:36" ht="15.75" customHeight="1" x14ac:dyDescent="0.2">
      <c r="A262" s="164"/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</row>
    <row r="263" spans="1:36" ht="15.75" customHeight="1" x14ac:dyDescent="0.2">
      <c r="A263" s="164"/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</row>
    <row r="264" spans="1:36" ht="15.75" customHeight="1" x14ac:dyDescent="0.2">
      <c r="A264" s="164"/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</row>
    <row r="265" spans="1:36" ht="15.75" customHeight="1" x14ac:dyDescent="0.2">
      <c r="A265" s="164"/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</row>
    <row r="266" spans="1:36" ht="15.75" customHeight="1" x14ac:dyDescent="0.2">
      <c r="A266" s="164"/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</row>
    <row r="267" spans="1:36" ht="15.75" customHeight="1" x14ac:dyDescent="0.2">
      <c r="A267" s="164"/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</row>
    <row r="268" spans="1:36" ht="15.75" customHeight="1" x14ac:dyDescent="0.2">
      <c r="A268" s="164"/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</row>
    <row r="269" spans="1:36" ht="15.75" customHeight="1" x14ac:dyDescent="0.2">
      <c r="A269" s="164"/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</row>
    <row r="270" spans="1:36" ht="15.75" customHeight="1" x14ac:dyDescent="0.2">
      <c r="A270" s="164"/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</row>
    <row r="271" spans="1:36" ht="15.75" customHeight="1" x14ac:dyDescent="0.2">
      <c r="A271" s="164"/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</row>
    <row r="272" spans="1:36" ht="15.75" customHeight="1" x14ac:dyDescent="0.2">
      <c r="A272" s="164"/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</row>
    <row r="273" spans="1:36" ht="15.75" customHeight="1" x14ac:dyDescent="0.2">
      <c r="A273" s="164"/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</row>
    <row r="274" spans="1:36" ht="15.75" customHeight="1" x14ac:dyDescent="0.2">
      <c r="A274" s="164"/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</row>
    <row r="275" spans="1:36" ht="15.75" customHeight="1" x14ac:dyDescent="0.2">
      <c r="A275" s="164"/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</row>
    <row r="276" spans="1:36" ht="15.75" customHeight="1" x14ac:dyDescent="0.2">
      <c r="A276" s="164"/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</row>
    <row r="277" spans="1:36" ht="15.75" customHeight="1" x14ac:dyDescent="0.2">
      <c r="A277" s="164"/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</row>
    <row r="278" spans="1:36" ht="15.75" customHeight="1" x14ac:dyDescent="0.2">
      <c r="A278" s="164"/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</row>
    <row r="279" spans="1:36" ht="15.75" customHeight="1" x14ac:dyDescent="0.2">
      <c r="A279" s="164"/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</row>
    <row r="280" spans="1:36" ht="15.75" customHeight="1" x14ac:dyDescent="0.2">
      <c r="A280" s="164"/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</row>
    <row r="281" spans="1:36" ht="15.75" customHeight="1" x14ac:dyDescent="0.2">
      <c r="A281" s="164"/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</row>
    <row r="282" spans="1:36" ht="15.75" customHeight="1" x14ac:dyDescent="0.2">
      <c r="A282" s="164"/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</row>
    <row r="283" spans="1:36" ht="15.75" customHeight="1" x14ac:dyDescent="0.2">
      <c r="A283" s="164"/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</row>
    <row r="284" spans="1:36" ht="15.75" customHeight="1" x14ac:dyDescent="0.2">
      <c r="A284" s="164"/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</row>
    <row r="285" spans="1:36" ht="15.75" customHeight="1" x14ac:dyDescent="0.2">
      <c r="A285" s="164"/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</row>
    <row r="286" spans="1:36" ht="15.75" customHeight="1" x14ac:dyDescent="0.2">
      <c r="A286" s="164"/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</row>
    <row r="287" spans="1:36" ht="15.75" customHeight="1" x14ac:dyDescent="0.2">
      <c r="A287" s="164"/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</row>
    <row r="288" spans="1:36" ht="15.75" customHeight="1" x14ac:dyDescent="0.2">
      <c r="A288" s="164"/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</row>
    <row r="289" spans="1:36" ht="15.75" customHeight="1" x14ac:dyDescent="0.2">
      <c r="A289" s="164"/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</row>
    <row r="290" spans="1:36" ht="15.75" customHeight="1" x14ac:dyDescent="0.2">
      <c r="A290" s="164"/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</row>
    <row r="291" spans="1:36" ht="15.75" customHeight="1" x14ac:dyDescent="0.2">
      <c r="A291" s="164"/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</row>
    <row r="292" spans="1:36" ht="15.75" customHeight="1" x14ac:dyDescent="0.2">
      <c r="A292" s="164"/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</row>
    <row r="293" spans="1:36" ht="15.75" customHeight="1" x14ac:dyDescent="0.2">
      <c r="A293" s="164"/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</row>
    <row r="294" spans="1:36" ht="15.75" customHeight="1" x14ac:dyDescent="0.2">
      <c r="A294" s="164"/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</row>
    <row r="295" spans="1:36" ht="15.75" customHeight="1" x14ac:dyDescent="0.2">
      <c r="A295" s="164"/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</row>
    <row r="296" spans="1:36" ht="15.75" customHeight="1" x14ac:dyDescent="0.2">
      <c r="A296" s="164"/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</row>
    <row r="297" spans="1:36" ht="15.75" customHeight="1" x14ac:dyDescent="0.2">
      <c r="A297" s="164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</row>
    <row r="298" spans="1:36" ht="15.75" customHeight="1" x14ac:dyDescent="0.2">
      <c r="A298" s="164"/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</row>
    <row r="299" spans="1:36" ht="15.75" customHeight="1" x14ac:dyDescent="0.2">
      <c r="A299" s="164"/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</row>
    <row r="300" spans="1:36" ht="15.75" customHeight="1" x14ac:dyDescent="0.2">
      <c r="A300" s="164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</row>
    <row r="301" spans="1:36" ht="15.75" customHeight="1" x14ac:dyDescent="0.2">
      <c r="A301" s="164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</row>
    <row r="302" spans="1:36" ht="15.75" customHeight="1" x14ac:dyDescent="0.2">
      <c r="A302" s="164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</row>
    <row r="303" spans="1:36" ht="15.75" customHeight="1" x14ac:dyDescent="0.2">
      <c r="A303" s="164"/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</row>
    <row r="304" spans="1:36" ht="15.75" customHeight="1" x14ac:dyDescent="0.2">
      <c r="A304" s="164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</row>
    <row r="305" spans="1:36" ht="15.75" customHeight="1" x14ac:dyDescent="0.2">
      <c r="A305" s="164"/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</row>
    <row r="306" spans="1:36" ht="15.75" customHeight="1" x14ac:dyDescent="0.2">
      <c r="A306" s="164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</row>
    <row r="307" spans="1:36" ht="15.75" customHeight="1" x14ac:dyDescent="0.2">
      <c r="A307" s="164"/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</row>
    <row r="308" spans="1:36" ht="15.75" customHeight="1" x14ac:dyDescent="0.2">
      <c r="A308" s="164"/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</row>
    <row r="309" spans="1:36" ht="15.75" customHeight="1" x14ac:dyDescent="0.2">
      <c r="A309" s="164"/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</row>
    <row r="310" spans="1:36" ht="15.75" customHeight="1" x14ac:dyDescent="0.2">
      <c r="A310" s="164"/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</row>
    <row r="311" spans="1:36" ht="15.75" customHeight="1" x14ac:dyDescent="0.2">
      <c r="A311" s="164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</row>
    <row r="312" spans="1:36" ht="15.75" customHeight="1" x14ac:dyDescent="0.2">
      <c r="A312" s="164"/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</row>
    <row r="313" spans="1:36" ht="15.75" customHeight="1" x14ac:dyDescent="0.2">
      <c r="A313" s="164"/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</row>
    <row r="314" spans="1:36" ht="15.75" customHeight="1" x14ac:dyDescent="0.2">
      <c r="A314" s="164"/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</row>
    <row r="315" spans="1:36" ht="15.75" customHeight="1" x14ac:dyDescent="0.2">
      <c r="A315" s="164"/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</row>
    <row r="316" spans="1:36" ht="15.75" customHeight="1" x14ac:dyDescent="0.2">
      <c r="A316" s="164"/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</row>
    <row r="317" spans="1:36" ht="15.75" customHeight="1" x14ac:dyDescent="0.2">
      <c r="A317" s="164"/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</row>
    <row r="318" spans="1:36" ht="15.75" customHeight="1" x14ac:dyDescent="0.2">
      <c r="A318" s="164"/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</row>
    <row r="319" spans="1:36" ht="15.75" customHeight="1" x14ac:dyDescent="0.2">
      <c r="A319" s="164"/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</row>
    <row r="320" spans="1:36" ht="15.75" customHeight="1" x14ac:dyDescent="0.2">
      <c r="A320" s="164"/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</row>
    <row r="321" spans="1:36" ht="15.75" customHeight="1" x14ac:dyDescent="0.2">
      <c r="A321" s="164"/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</row>
    <row r="322" spans="1:36" ht="15.75" customHeight="1" x14ac:dyDescent="0.2">
      <c r="A322" s="164"/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</row>
    <row r="323" spans="1:36" ht="15.75" customHeight="1" x14ac:dyDescent="0.2">
      <c r="A323" s="164"/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</row>
    <row r="324" spans="1:36" ht="15.75" customHeight="1" x14ac:dyDescent="0.2">
      <c r="A324" s="164"/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</row>
    <row r="325" spans="1:36" ht="15.75" customHeight="1" x14ac:dyDescent="0.2">
      <c r="A325" s="164"/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</row>
    <row r="326" spans="1:36" ht="15.75" customHeight="1" x14ac:dyDescent="0.2">
      <c r="A326" s="164"/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</row>
    <row r="327" spans="1:36" ht="15.75" customHeight="1" x14ac:dyDescent="0.2">
      <c r="A327" s="164"/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</row>
    <row r="328" spans="1:36" ht="15.75" customHeight="1" x14ac:dyDescent="0.2">
      <c r="A328" s="164"/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</row>
    <row r="329" spans="1:36" ht="15.75" customHeight="1" x14ac:dyDescent="0.2">
      <c r="A329" s="164"/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  <c r="AB329" s="164"/>
      <c r="AC329" s="164"/>
      <c r="AD329" s="164"/>
      <c r="AE329" s="164"/>
      <c r="AF329" s="164"/>
      <c r="AG329" s="164"/>
      <c r="AH329" s="164"/>
      <c r="AI329" s="164"/>
      <c r="AJ329" s="164"/>
    </row>
    <row r="330" spans="1:36" ht="15.75" customHeight="1" x14ac:dyDescent="0.2">
      <c r="A330" s="164"/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</row>
    <row r="331" spans="1:36" ht="15.75" customHeight="1" x14ac:dyDescent="0.2">
      <c r="A331" s="164"/>
      <c r="B331" s="164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</row>
    <row r="332" spans="1:36" ht="15.75" customHeight="1" x14ac:dyDescent="0.2">
      <c r="A332" s="164"/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</row>
    <row r="333" spans="1:36" ht="15.75" customHeight="1" x14ac:dyDescent="0.2">
      <c r="A333" s="164"/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</row>
    <row r="334" spans="1:36" ht="15.75" customHeight="1" x14ac:dyDescent="0.2">
      <c r="A334" s="164"/>
      <c r="B334" s="164"/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</row>
    <row r="335" spans="1:36" ht="15.75" customHeight="1" x14ac:dyDescent="0.2">
      <c r="A335" s="164"/>
      <c r="B335" s="164"/>
      <c r="C335" s="164"/>
      <c r="D335" s="164"/>
      <c r="E335" s="164"/>
      <c r="F335" s="164"/>
      <c r="G335" s="164"/>
      <c r="H335" s="164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</row>
    <row r="336" spans="1:36" ht="15.75" customHeight="1" x14ac:dyDescent="0.2">
      <c r="A336" s="164"/>
      <c r="B336" s="164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</row>
    <row r="337" spans="1:36" ht="15.75" customHeight="1" x14ac:dyDescent="0.2">
      <c r="A337" s="164"/>
      <c r="B337" s="164"/>
      <c r="C337" s="164"/>
      <c r="D337" s="164"/>
      <c r="E337" s="164"/>
      <c r="F337" s="164"/>
      <c r="G337" s="164"/>
      <c r="H337" s="164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</row>
    <row r="338" spans="1:36" ht="15.75" customHeight="1" x14ac:dyDescent="0.2">
      <c r="A338" s="164"/>
      <c r="B338" s="164"/>
      <c r="C338" s="164"/>
      <c r="D338" s="164"/>
      <c r="E338" s="164"/>
      <c r="F338" s="164"/>
      <c r="G338" s="164"/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</row>
    <row r="339" spans="1:36" ht="15.75" customHeight="1" x14ac:dyDescent="0.2">
      <c r="A339" s="164"/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</row>
    <row r="340" spans="1:36" ht="15.75" customHeight="1" x14ac:dyDescent="0.2">
      <c r="A340" s="164"/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</row>
    <row r="341" spans="1:36" ht="15.75" customHeight="1" x14ac:dyDescent="0.2">
      <c r="A341" s="164"/>
      <c r="B341" s="164"/>
      <c r="C341" s="164"/>
      <c r="D341" s="164"/>
      <c r="E341" s="164"/>
      <c r="F341" s="164"/>
      <c r="G341" s="164"/>
      <c r="H341" s="164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</row>
    <row r="342" spans="1:36" ht="15.75" customHeight="1" x14ac:dyDescent="0.2">
      <c r="A342" s="164"/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</row>
    <row r="343" spans="1:36" ht="15.75" customHeight="1" x14ac:dyDescent="0.2">
      <c r="A343" s="164"/>
      <c r="B343" s="164"/>
      <c r="C343" s="164"/>
      <c r="D343" s="164"/>
      <c r="E343" s="164"/>
      <c r="F343" s="164"/>
      <c r="G343" s="164"/>
      <c r="H343" s="164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</row>
    <row r="344" spans="1:36" ht="15.75" customHeight="1" x14ac:dyDescent="0.2">
      <c r="A344" s="164"/>
      <c r="B344" s="164"/>
      <c r="C344" s="164"/>
      <c r="D344" s="164"/>
      <c r="E344" s="164"/>
      <c r="F344" s="164"/>
      <c r="G344" s="164"/>
      <c r="H344" s="164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</row>
    <row r="345" spans="1:36" ht="15.75" customHeight="1" x14ac:dyDescent="0.2">
      <c r="A345" s="164"/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</row>
    <row r="346" spans="1:36" ht="15.75" customHeight="1" x14ac:dyDescent="0.2">
      <c r="A346" s="164"/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</row>
    <row r="347" spans="1:36" ht="15.75" customHeight="1" x14ac:dyDescent="0.2">
      <c r="A347" s="164"/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</row>
    <row r="348" spans="1:36" ht="15.75" customHeight="1" x14ac:dyDescent="0.2">
      <c r="A348" s="164"/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</row>
    <row r="349" spans="1:36" ht="15.75" customHeight="1" x14ac:dyDescent="0.2">
      <c r="A349" s="164"/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</row>
    <row r="350" spans="1:36" ht="15.75" customHeight="1" x14ac:dyDescent="0.2">
      <c r="A350" s="164"/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</row>
    <row r="351" spans="1:36" ht="15.75" customHeight="1" x14ac:dyDescent="0.2">
      <c r="A351" s="164"/>
      <c r="B351" s="164"/>
      <c r="C351" s="164"/>
      <c r="D351" s="164"/>
      <c r="E351" s="164"/>
      <c r="F351" s="164"/>
      <c r="G351" s="164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</row>
    <row r="352" spans="1:36" ht="15.75" customHeight="1" x14ac:dyDescent="0.2">
      <c r="A352" s="164"/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</row>
    <row r="353" spans="1:36" ht="15.75" customHeight="1" x14ac:dyDescent="0.2">
      <c r="A353" s="164"/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</row>
    <row r="354" spans="1:36" ht="15.75" customHeight="1" x14ac:dyDescent="0.2">
      <c r="A354" s="164"/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</row>
    <row r="355" spans="1:36" ht="15.75" customHeight="1" x14ac:dyDescent="0.2">
      <c r="A355" s="164"/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</row>
    <row r="356" spans="1:36" ht="15.75" customHeight="1" x14ac:dyDescent="0.2">
      <c r="A356" s="164"/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</row>
    <row r="357" spans="1:36" ht="15.75" customHeight="1" x14ac:dyDescent="0.2">
      <c r="A357" s="164"/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</row>
    <row r="358" spans="1:36" ht="15.75" customHeight="1" x14ac:dyDescent="0.2">
      <c r="A358" s="164"/>
      <c r="B358" s="164"/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</row>
    <row r="359" spans="1:36" ht="15.75" customHeight="1" x14ac:dyDescent="0.2">
      <c r="A359" s="164"/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</row>
    <row r="360" spans="1:36" ht="15.75" customHeight="1" x14ac:dyDescent="0.2">
      <c r="A360" s="164"/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</row>
    <row r="361" spans="1:36" ht="15.75" customHeight="1" x14ac:dyDescent="0.2">
      <c r="A361" s="164"/>
      <c r="B361" s="164"/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</row>
    <row r="362" spans="1:36" ht="15.75" customHeight="1" x14ac:dyDescent="0.2">
      <c r="A362" s="164"/>
      <c r="B362" s="164"/>
      <c r="C362" s="164"/>
      <c r="D362" s="164"/>
      <c r="E362" s="164"/>
      <c r="F362" s="164"/>
      <c r="G362" s="164"/>
      <c r="H362" s="164"/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</row>
    <row r="363" spans="1:36" ht="15.75" customHeight="1" x14ac:dyDescent="0.2">
      <c r="A363" s="164"/>
      <c r="B363" s="164"/>
      <c r="C363" s="164"/>
      <c r="D363" s="164"/>
      <c r="E363" s="164"/>
      <c r="F363" s="164"/>
      <c r="G363" s="164"/>
      <c r="H363" s="164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</row>
    <row r="364" spans="1:36" ht="15.75" customHeight="1" x14ac:dyDescent="0.2">
      <c r="A364" s="164"/>
      <c r="B364" s="164"/>
      <c r="C364" s="164"/>
      <c r="D364" s="164"/>
      <c r="E364" s="164"/>
      <c r="F364" s="164"/>
      <c r="G364" s="164"/>
      <c r="H364" s="164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</row>
    <row r="365" spans="1:36" ht="15.75" customHeight="1" x14ac:dyDescent="0.2">
      <c r="A365" s="164"/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</row>
    <row r="366" spans="1:36" ht="15.75" customHeight="1" x14ac:dyDescent="0.2">
      <c r="A366" s="164"/>
      <c r="B366" s="164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</row>
    <row r="367" spans="1:36" ht="15.75" customHeight="1" x14ac:dyDescent="0.2">
      <c r="A367" s="164"/>
      <c r="B367" s="164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</row>
    <row r="368" spans="1:36" ht="15.75" customHeight="1" x14ac:dyDescent="0.2">
      <c r="A368" s="164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</row>
    <row r="369" spans="1:36" ht="15.75" customHeight="1" x14ac:dyDescent="0.2">
      <c r="A369" s="164"/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</row>
    <row r="370" spans="1:36" ht="15.75" customHeight="1" x14ac:dyDescent="0.2">
      <c r="A370" s="164"/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</row>
    <row r="371" spans="1:36" ht="15.75" customHeight="1" x14ac:dyDescent="0.2">
      <c r="A371" s="164"/>
      <c r="B371" s="164"/>
      <c r="C371" s="164"/>
      <c r="D371" s="164"/>
      <c r="E371" s="164"/>
      <c r="F371" s="164"/>
      <c r="G371" s="164"/>
      <c r="H371" s="164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</row>
    <row r="372" spans="1:36" ht="15.75" customHeight="1" x14ac:dyDescent="0.2">
      <c r="A372" s="164"/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</row>
    <row r="373" spans="1:36" ht="15.75" customHeight="1" x14ac:dyDescent="0.2">
      <c r="A373" s="164"/>
      <c r="B373" s="164"/>
      <c r="C373" s="164"/>
      <c r="D373" s="164"/>
      <c r="E373" s="164"/>
      <c r="F373" s="164"/>
      <c r="G373" s="164"/>
      <c r="H373" s="164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</row>
    <row r="374" spans="1:36" ht="15.75" customHeight="1" x14ac:dyDescent="0.2">
      <c r="A374" s="164"/>
      <c r="B374" s="164"/>
      <c r="C374" s="164"/>
      <c r="D374" s="164"/>
      <c r="E374" s="164"/>
      <c r="F374" s="164"/>
      <c r="G374" s="164"/>
      <c r="H374" s="164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</row>
    <row r="375" spans="1:36" ht="15.75" customHeight="1" x14ac:dyDescent="0.2">
      <c r="A375" s="164"/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</row>
    <row r="376" spans="1:36" ht="15.75" customHeight="1" x14ac:dyDescent="0.2">
      <c r="A376" s="164"/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</row>
    <row r="377" spans="1:36" ht="15.75" customHeight="1" x14ac:dyDescent="0.2">
      <c r="A377" s="164"/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</row>
    <row r="378" spans="1:36" ht="15.75" customHeight="1" x14ac:dyDescent="0.2">
      <c r="A378" s="164"/>
      <c r="B378" s="164"/>
      <c r="C378" s="164"/>
      <c r="D378" s="164"/>
      <c r="E378" s="164"/>
      <c r="F378" s="164"/>
      <c r="G378" s="164"/>
      <c r="H378" s="164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</row>
    <row r="379" spans="1:36" ht="15.75" customHeight="1" x14ac:dyDescent="0.2">
      <c r="A379" s="164"/>
      <c r="B379" s="164"/>
      <c r="C379" s="164"/>
      <c r="D379" s="164"/>
      <c r="E379" s="164"/>
      <c r="F379" s="164"/>
      <c r="G379" s="164"/>
      <c r="H379" s="164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</row>
    <row r="380" spans="1:36" ht="15.75" customHeight="1" x14ac:dyDescent="0.2">
      <c r="A380" s="164"/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</row>
    <row r="381" spans="1:36" ht="15.75" customHeight="1" x14ac:dyDescent="0.2">
      <c r="A381" s="164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</row>
    <row r="382" spans="1:36" ht="15.75" customHeight="1" x14ac:dyDescent="0.2">
      <c r="A382" s="164"/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</row>
    <row r="383" spans="1:36" ht="15.75" customHeight="1" x14ac:dyDescent="0.2">
      <c r="A383" s="164"/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</row>
    <row r="384" spans="1:36" ht="15.75" customHeight="1" x14ac:dyDescent="0.2">
      <c r="A384" s="164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</row>
    <row r="385" spans="1:36" ht="15.75" customHeight="1" x14ac:dyDescent="0.2">
      <c r="A385" s="164"/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</row>
    <row r="386" spans="1:36" ht="15.75" customHeight="1" x14ac:dyDescent="0.2">
      <c r="A386" s="164"/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</row>
    <row r="387" spans="1:36" ht="15.75" customHeight="1" x14ac:dyDescent="0.2">
      <c r="A387" s="164"/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</row>
    <row r="388" spans="1:36" ht="15.75" customHeight="1" x14ac:dyDescent="0.2">
      <c r="A388" s="164"/>
      <c r="B388" s="164"/>
      <c r="C388" s="164"/>
      <c r="D388" s="164"/>
      <c r="E388" s="164"/>
      <c r="F388" s="164"/>
      <c r="G388" s="164"/>
      <c r="H388" s="164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</row>
    <row r="389" spans="1:36" ht="15.75" customHeight="1" x14ac:dyDescent="0.2">
      <c r="A389" s="164"/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</row>
    <row r="390" spans="1:36" ht="15.75" customHeight="1" x14ac:dyDescent="0.2">
      <c r="A390" s="164"/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</row>
    <row r="391" spans="1:36" ht="15.75" customHeight="1" x14ac:dyDescent="0.2">
      <c r="A391" s="164"/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</row>
    <row r="392" spans="1:36" ht="15.75" customHeight="1" x14ac:dyDescent="0.2">
      <c r="A392" s="164"/>
      <c r="B392" s="164"/>
      <c r="C392" s="164"/>
      <c r="D392" s="164"/>
      <c r="E392" s="164"/>
      <c r="F392" s="164"/>
      <c r="G392" s="164"/>
      <c r="H392" s="164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</row>
    <row r="393" spans="1:36" ht="15.75" customHeight="1" x14ac:dyDescent="0.2">
      <c r="A393" s="164"/>
      <c r="B393" s="164"/>
      <c r="C393" s="164"/>
      <c r="D393" s="164"/>
      <c r="E393" s="164"/>
      <c r="F393" s="164"/>
      <c r="G393" s="164"/>
      <c r="H393" s="164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</row>
    <row r="394" spans="1:36" ht="15.75" customHeight="1" x14ac:dyDescent="0.2">
      <c r="A394" s="164"/>
      <c r="B394" s="164"/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</row>
    <row r="395" spans="1:36" ht="15.75" customHeight="1" x14ac:dyDescent="0.2">
      <c r="A395" s="164"/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</row>
    <row r="396" spans="1:36" ht="15.75" customHeight="1" x14ac:dyDescent="0.2">
      <c r="A396" s="164"/>
      <c r="B396" s="164"/>
      <c r="C396" s="164"/>
      <c r="D396" s="164"/>
      <c r="E396" s="164"/>
      <c r="F396" s="164"/>
      <c r="G396" s="164"/>
      <c r="H396" s="164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</row>
    <row r="397" spans="1:36" ht="15.75" customHeight="1" x14ac:dyDescent="0.2">
      <c r="A397" s="164"/>
      <c r="B397" s="164"/>
      <c r="C397" s="164"/>
      <c r="D397" s="164"/>
      <c r="E397" s="164"/>
      <c r="F397" s="164"/>
      <c r="G397" s="164"/>
      <c r="H397" s="164"/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</row>
    <row r="398" spans="1:36" ht="15.75" customHeight="1" x14ac:dyDescent="0.2">
      <c r="A398" s="164"/>
      <c r="B398" s="164"/>
      <c r="C398" s="164"/>
      <c r="D398" s="164"/>
      <c r="E398" s="164"/>
      <c r="F398" s="164"/>
      <c r="G398" s="164"/>
      <c r="H398" s="164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</row>
    <row r="399" spans="1:36" ht="15.75" customHeight="1" x14ac:dyDescent="0.2">
      <c r="A399" s="164"/>
      <c r="B399" s="164"/>
      <c r="C399" s="164"/>
      <c r="D399" s="164"/>
      <c r="E399" s="164"/>
      <c r="F399" s="164"/>
      <c r="G399" s="164"/>
      <c r="H399" s="164"/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</row>
    <row r="400" spans="1:36" ht="15.75" customHeight="1" x14ac:dyDescent="0.2">
      <c r="A400" s="164"/>
      <c r="B400" s="164"/>
      <c r="C400" s="164"/>
      <c r="D400" s="164"/>
      <c r="E400" s="164"/>
      <c r="F400" s="164"/>
      <c r="G400" s="164"/>
      <c r="H400" s="164"/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</row>
    <row r="401" spans="1:36" ht="15.75" customHeight="1" x14ac:dyDescent="0.2">
      <c r="A401" s="164"/>
      <c r="B401" s="164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</row>
    <row r="402" spans="1:36" ht="15.75" customHeight="1" x14ac:dyDescent="0.2">
      <c r="A402" s="164"/>
      <c r="B402" s="164"/>
      <c r="C402" s="164"/>
      <c r="D402" s="164"/>
      <c r="E402" s="164"/>
      <c r="F402" s="164"/>
      <c r="G402" s="164"/>
      <c r="H402" s="164"/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</row>
    <row r="403" spans="1:36" ht="15.75" customHeight="1" x14ac:dyDescent="0.2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</row>
    <row r="404" spans="1:36" ht="15.75" customHeight="1" x14ac:dyDescent="0.2">
      <c r="A404" s="164"/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</row>
    <row r="405" spans="1:36" ht="15.75" customHeight="1" x14ac:dyDescent="0.2">
      <c r="A405" s="164"/>
      <c r="B405" s="164"/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</row>
    <row r="406" spans="1:36" ht="15.75" customHeight="1" x14ac:dyDescent="0.2">
      <c r="A406" s="164"/>
      <c r="B406" s="164"/>
      <c r="C406" s="164"/>
      <c r="D406" s="164"/>
      <c r="E406" s="164"/>
      <c r="F406" s="164"/>
      <c r="G406" s="164"/>
      <c r="H406" s="164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</row>
    <row r="407" spans="1:36" ht="15.75" customHeight="1" x14ac:dyDescent="0.2">
      <c r="A407" s="164"/>
      <c r="B407" s="164"/>
      <c r="C407" s="164"/>
      <c r="D407" s="164"/>
      <c r="E407" s="164"/>
      <c r="F407" s="164"/>
      <c r="G407" s="164"/>
      <c r="H407" s="164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</row>
    <row r="408" spans="1:36" ht="15.75" customHeight="1" x14ac:dyDescent="0.2">
      <c r="A408" s="164"/>
      <c r="B408" s="164"/>
      <c r="C408" s="164"/>
      <c r="D408" s="164"/>
      <c r="E408" s="164"/>
      <c r="F408" s="164"/>
      <c r="G408" s="164"/>
      <c r="H408" s="164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</row>
    <row r="409" spans="1:36" ht="15.75" customHeight="1" x14ac:dyDescent="0.2">
      <c r="A409" s="164"/>
      <c r="B409" s="164"/>
      <c r="C409" s="164"/>
      <c r="D409" s="164"/>
      <c r="E409" s="164"/>
      <c r="F409" s="164"/>
      <c r="G409" s="164"/>
      <c r="H409" s="164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</row>
    <row r="410" spans="1:36" ht="15.75" customHeight="1" x14ac:dyDescent="0.2">
      <c r="A410" s="164"/>
      <c r="B410" s="164"/>
      <c r="C410" s="164"/>
      <c r="D410" s="164"/>
      <c r="E410" s="164"/>
      <c r="F410" s="164"/>
      <c r="G410" s="164"/>
      <c r="H410" s="164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</row>
    <row r="411" spans="1:36" ht="15.75" customHeight="1" x14ac:dyDescent="0.2">
      <c r="A411" s="164"/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</row>
    <row r="412" spans="1:36" ht="15.75" customHeight="1" x14ac:dyDescent="0.2">
      <c r="A412" s="164"/>
      <c r="B412" s="164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</row>
    <row r="413" spans="1:36" ht="15.75" customHeight="1" x14ac:dyDescent="0.2">
      <c r="A413" s="164"/>
      <c r="B413" s="164"/>
      <c r="C413" s="164"/>
      <c r="D413" s="164"/>
      <c r="E413" s="164"/>
      <c r="F413" s="164"/>
      <c r="G413" s="164"/>
      <c r="H413" s="164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</row>
    <row r="414" spans="1:36" ht="15.75" customHeight="1" x14ac:dyDescent="0.2">
      <c r="A414" s="164"/>
      <c r="B414" s="164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</row>
    <row r="415" spans="1:36" ht="15.75" customHeight="1" x14ac:dyDescent="0.2">
      <c r="A415" s="164"/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</row>
    <row r="416" spans="1:36" ht="15.75" customHeight="1" x14ac:dyDescent="0.2">
      <c r="A416" s="164"/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</row>
    <row r="417" spans="1:36" ht="15.75" customHeight="1" x14ac:dyDescent="0.2">
      <c r="A417" s="164"/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</row>
    <row r="418" spans="1:36" ht="15.75" customHeight="1" x14ac:dyDescent="0.2">
      <c r="A418" s="164"/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</row>
    <row r="419" spans="1:36" ht="15.75" customHeight="1" x14ac:dyDescent="0.2">
      <c r="A419" s="164"/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</row>
    <row r="420" spans="1:36" ht="15.75" customHeight="1" x14ac:dyDescent="0.2">
      <c r="A420" s="164"/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</row>
    <row r="421" spans="1:36" ht="15.75" customHeight="1" x14ac:dyDescent="0.2">
      <c r="A421" s="164"/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</row>
    <row r="422" spans="1:36" ht="15.75" customHeight="1" x14ac:dyDescent="0.2">
      <c r="A422" s="164"/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</row>
    <row r="423" spans="1:36" ht="15.75" customHeight="1" x14ac:dyDescent="0.2">
      <c r="A423" s="164"/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</row>
    <row r="424" spans="1:36" ht="15.75" customHeight="1" x14ac:dyDescent="0.2">
      <c r="A424" s="164"/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</row>
    <row r="425" spans="1:36" ht="15.75" customHeight="1" x14ac:dyDescent="0.2">
      <c r="A425" s="164"/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</row>
    <row r="426" spans="1:36" ht="15.75" customHeight="1" x14ac:dyDescent="0.2">
      <c r="A426" s="164"/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</row>
    <row r="427" spans="1:36" ht="15.75" customHeight="1" x14ac:dyDescent="0.2">
      <c r="A427" s="164"/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</row>
    <row r="428" spans="1:36" ht="15.75" customHeight="1" x14ac:dyDescent="0.2">
      <c r="A428" s="164"/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</row>
    <row r="429" spans="1:36" ht="15.75" customHeight="1" x14ac:dyDescent="0.2">
      <c r="A429" s="164"/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</row>
    <row r="430" spans="1:36" ht="15.75" customHeight="1" x14ac:dyDescent="0.2">
      <c r="A430" s="164"/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</row>
    <row r="431" spans="1:36" ht="15.75" customHeight="1" x14ac:dyDescent="0.2">
      <c r="A431" s="164"/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</row>
    <row r="432" spans="1:36" ht="15.75" customHeight="1" x14ac:dyDescent="0.2">
      <c r="A432" s="164"/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</row>
    <row r="433" spans="1:36" ht="15.75" customHeight="1" x14ac:dyDescent="0.2">
      <c r="A433" s="164"/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</row>
    <row r="434" spans="1:36" ht="15.75" customHeight="1" x14ac:dyDescent="0.2">
      <c r="A434" s="164"/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</row>
    <row r="435" spans="1:36" ht="15.75" customHeight="1" x14ac:dyDescent="0.2">
      <c r="A435" s="164"/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</row>
    <row r="436" spans="1:36" ht="15.75" customHeight="1" x14ac:dyDescent="0.2">
      <c r="A436" s="164"/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</row>
    <row r="437" spans="1:36" ht="15.75" customHeight="1" x14ac:dyDescent="0.2">
      <c r="A437" s="164"/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</row>
    <row r="438" spans="1:36" ht="15.75" customHeight="1" x14ac:dyDescent="0.2">
      <c r="A438" s="164"/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</row>
    <row r="439" spans="1:36" ht="15.75" customHeight="1" x14ac:dyDescent="0.2">
      <c r="A439" s="164"/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</row>
    <row r="440" spans="1:36" ht="15.75" customHeight="1" x14ac:dyDescent="0.2">
      <c r="A440" s="164"/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</row>
    <row r="441" spans="1:36" ht="15.75" customHeight="1" x14ac:dyDescent="0.2">
      <c r="A441" s="164"/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</row>
    <row r="442" spans="1:36" ht="15.75" customHeight="1" x14ac:dyDescent="0.2">
      <c r="A442" s="164"/>
      <c r="B442" s="164"/>
      <c r="C442" s="164"/>
      <c r="D442" s="164"/>
      <c r="E442" s="164"/>
      <c r="F442" s="164"/>
      <c r="G442" s="164"/>
      <c r="H442" s="164"/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</row>
    <row r="443" spans="1:36" ht="15.75" customHeight="1" x14ac:dyDescent="0.2">
      <c r="A443" s="164"/>
      <c r="B443" s="164"/>
      <c r="C443" s="164"/>
      <c r="D443" s="164"/>
      <c r="E443" s="164"/>
      <c r="F443" s="164"/>
      <c r="G443" s="164"/>
      <c r="H443" s="164"/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</row>
    <row r="444" spans="1:36" ht="15.75" customHeight="1" x14ac:dyDescent="0.2">
      <c r="A444" s="164"/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</row>
    <row r="445" spans="1:36" ht="15.75" customHeight="1" x14ac:dyDescent="0.2">
      <c r="A445" s="164"/>
      <c r="B445" s="164"/>
      <c r="C445" s="164"/>
      <c r="D445" s="164"/>
      <c r="E445" s="164"/>
      <c r="F445" s="164"/>
      <c r="G445" s="164"/>
      <c r="H445" s="164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</row>
    <row r="446" spans="1:36" ht="15.75" customHeight="1" x14ac:dyDescent="0.2">
      <c r="A446" s="164"/>
      <c r="B446" s="164"/>
      <c r="C446" s="164"/>
      <c r="D446" s="164"/>
      <c r="E446" s="164"/>
      <c r="F446" s="164"/>
      <c r="G446" s="164"/>
      <c r="H446" s="164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</row>
    <row r="447" spans="1:36" ht="15.75" customHeight="1" x14ac:dyDescent="0.2">
      <c r="A447" s="164"/>
      <c r="B447" s="164"/>
      <c r="C447" s="164"/>
      <c r="D447" s="164"/>
      <c r="E447" s="164"/>
      <c r="F447" s="164"/>
      <c r="G447" s="164"/>
      <c r="H447" s="164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</row>
    <row r="448" spans="1:36" ht="15.75" customHeight="1" x14ac:dyDescent="0.2">
      <c r="A448" s="164"/>
      <c r="B448" s="164"/>
      <c r="C448" s="164"/>
      <c r="D448" s="164"/>
      <c r="E448" s="164"/>
      <c r="F448" s="164"/>
      <c r="G448" s="164"/>
      <c r="H448" s="164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</row>
    <row r="449" spans="1:36" ht="15.75" customHeight="1" x14ac:dyDescent="0.2">
      <c r="A449" s="164"/>
      <c r="B449" s="164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</row>
    <row r="450" spans="1:36" ht="15.75" customHeight="1" x14ac:dyDescent="0.2">
      <c r="A450" s="164"/>
      <c r="B450" s="164"/>
      <c r="C450" s="164"/>
      <c r="D450" s="164"/>
      <c r="E450" s="164"/>
      <c r="F450" s="164"/>
      <c r="G450" s="164"/>
      <c r="H450" s="164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</row>
    <row r="451" spans="1:36" ht="15.75" customHeight="1" x14ac:dyDescent="0.2">
      <c r="A451" s="164"/>
      <c r="B451" s="164"/>
      <c r="C451" s="164"/>
      <c r="D451" s="164"/>
      <c r="E451" s="164"/>
      <c r="F451" s="164"/>
      <c r="G451" s="164"/>
      <c r="H451" s="164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</row>
    <row r="452" spans="1:36" ht="15.75" customHeight="1" x14ac:dyDescent="0.2">
      <c r="A452" s="164"/>
      <c r="B452" s="164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</row>
    <row r="453" spans="1:36" ht="15.75" customHeight="1" x14ac:dyDescent="0.2">
      <c r="A453" s="164"/>
      <c r="B453" s="164"/>
      <c r="C453" s="164"/>
      <c r="D453" s="164"/>
      <c r="E453" s="164"/>
      <c r="F453" s="164"/>
      <c r="G453" s="164"/>
      <c r="H453" s="164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</row>
    <row r="454" spans="1:36" ht="15.75" customHeight="1" x14ac:dyDescent="0.2">
      <c r="A454" s="164"/>
      <c r="B454" s="164"/>
      <c r="C454" s="164"/>
      <c r="D454" s="164"/>
      <c r="E454" s="164"/>
      <c r="F454" s="164"/>
      <c r="G454" s="164"/>
      <c r="H454" s="164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</row>
    <row r="455" spans="1:36" ht="15.75" customHeight="1" x14ac:dyDescent="0.2">
      <c r="A455" s="164"/>
      <c r="B455" s="164"/>
      <c r="C455" s="164"/>
      <c r="D455" s="164"/>
      <c r="E455" s="164"/>
      <c r="F455" s="164"/>
      <c r="G455" s="164"/>
      <c r="H455" s="164"/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</row>
    <row r="456" spans="1:36" ht="15.75" customHeight="1" x14ac:dyDescent="0.2">
      <c r="A456" s="164"/>
      <c r="B456" s="164"/>
      <c r="C456" s="164"/>
      <c r="D456" s="164"/>
      <c r="E456" s="164"/>
      <c r="F456" s="164"/>
      <c r="G456" s="164"/>
      <c r="H456" s="164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</row>
    <row r="457" spans="1:36" ht="15.75" customHeight="1" x14ac:dyDescent="0.2">
      <c r="A457" s="164"/>
      <c r="B457" s="164"/>
      <c r="C457" s="164"/>
      <c r="D457" s="164"/>
      <c r="E457" s="164"/>
      <c r="F457" s="164"/>
      <c r="G457" s="164"/>
      <c r="H457" s="164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</row>
    <row r="458" spans="1:36" ht="15.75" customHeight="1" x14ac:dyDescent="0.2">
      <c r="A458" s="164"/>
      <c r="B458" s="164"/>
      <c r="C458" s="164"/>
      <c r="D458" s="164"/>
      <c r="E458" s="164"/>
      <c r="F458" s="164"/>
      <c r="G458" s="164"/>
      <c r="H458" s="164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</row>
    <row r="459" spans="1:36" ht="15.75" customHeight="1" x14ac:dyDescent="0.2">
      <c r="A459" s="164"/>
      <c r="B459" s="164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</row>
    <row r="460" spans="1:36" ht="15.75" customHeight="1" x14ac:dyDescent="0.2">
      <c r="A460" s="164"/>
      <c r="B460" s="164"/>
      <c r="C460" s="164"/>
      <c r="D460" s="164"/>
      <c r="E460" s="164"/>
      <c r="F460" s="164"/>
      <c r="G460" s="164"/>
      <c r="H460" s="164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</row>
    <row r="461" spans="1:36" ht="15.75" customHeight="1" x14ac:dyDescent="0.2">
      <c r="A461" s="164"/>
      <c r="B461" s="164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  <c r="AB461" s="164"/>
      <c r="AC461" s="164"/>
      <c r="AD461" s="164"/>
      <c r="AE461" s="164"/>
      <c r="AF461" s="164"/>
      <c r="AG461" s="164"/>
      <c r="AH461" s="164"/>
      <c r="AI461" s="164"/>
      <c r="AJ461" s="164"/>
    </row>
    <row r="462" spans="1:36" ht="15.75" customHeight="1" x14ac:dyDescent="0.2">
      <c r="A462" s="164"/>
      <c r="B462" s="164"/>
      <c r="C462" s="164"/>
      <c r="D462" s="164"/>
      <c r="E462" s="164"/>
      <c r="F462" s="164"/>
      <c r="G462" s="164"/>
      <c r="H462" s="164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  <c r="AB462" s="164"/>
      <c r="AC462" s="164"/>
      <c r="AD462" s="164"/>
      <c r="AE462" s="164"/>
      <c r="AF462" s="164"/>
      <c r="AG462" s="164"/>
      <c r="AH462" s="164"/>
      <c r="AI462" s="164"/>
      <c r="AJ462" s="164"/>
    </row>
    <row r="463" spans="1:36" ht="15.75" customHeight="1" x14ac:dyDescent="0.2">
      <c r="A463" s="164"/>
      <c r="B463" s="164"/>
      <c r="C463" s="164"/>
      <c r="D463" s="164"/>
      <c r="E463" s="164"/>
      <c r="F463" s="164"/>
      <c r="G463" s="164"/>
      <c r="H463" s="164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  <c r="AB463" s="164"/>
      <c r="AC463" s="164"/>
      <c r="AD463" s="164"/>
      <c r="AE463" s="164"/>
      <c r="AF463" s="164"/>
      <c r="AG463" s="164"/>
      <c r="AH463" s="164"/>
      <c r="AI463" s="164"/>
      <c r="AJ463" s="164"/>
    </row>
    <row r="464" spans="1:36" ht="15.75" customHeight="1" x14ac:dyDescent="0.2">
      <c r="A464" s="164"/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  <c r="AB464" s="164"/>
      <c r="AC464" s="164"/>
      <c r="AD464" s="164"/>
      <c r="AE464" s="164"/>
      <c r="AF464" s="164"/>
      <c r="AG464" s="164"/>
      <c r="AH464" s="164"/>
      <c r="AI464" s="164"/>
      <c r="AJ464" s="164"/>
    </row>
    <row r="465" spans="1:36" ht="15.75" customHeight="1" x14ac:dyDescent="0.2">
      <c r="A465" s="164"/>
      <c r="B465" s="164"/>
      <c r="C465" s="164"/>
      <c r="D465" s="164"/>
      <c r="E465" s="164"/>
      <c r="F465" s="164"/>
      <c r="G465" s="164"/>
      <c r="H465" s="164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  <c r="AB465" s="164"/>
      <c r="AC465" s="164"/>
      <c r="AD465" s="164"/>
      <c r="AE465" s="164"/>
      <c r="AF465" s="164"/>
      <c r="AG465" s="164"/>
      <c r="AH465" s="164"/>
      <c r="AI465" s="164"/>
      <c r="AJ465" s="164"/>
    </row>
    <row r="466" spans="1:36" ht="15.75" customHeight="1" x14ac:dyDescent="0.2">
      <c r="A466" s="164"/>
      <c r="B466" s="164"/>
      <c r="C466" s="164"/>
      <c r="D466" s="164"/>
      <c r="E466" s="164"/>
      <c r="F466" s="164"/>
      <c r="G466" s="164"/>
      <c r="H466" s="164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  <c r="AB466" s="164"/>
      <c r="AC466" s="164"/>
      <c r="AD466" s="164"/>
      <c r="AE466" s="164"/>
      <c r="AF466" s="164"/>
      <c r="AG466" s="164"/>
      <c r="AH466" s="164"/>
      <c r="AI466" s="164"/>
      <c r="AJ466" s="164"/>
    </row>
    <row r="467" spans="1:36" ht="15.75" customHeight="1" x14ac:dyDescent="0.2">
      <c r="A467" s="164"/>
      <c r="B467" s="164"/>
      <c r="C467" s="164"/>
      <c r="D467" s="164"/>
      <c r="E467" s="164"/>
      <c r="F467" s="164"/>
      <c r="G467" s="164"/>
      <c r="H467" s="164"/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4"/>
      <c r="AG467" s="164"/>
      <c r="AH467" s="164"/>
      <c r="AI467" s="164"/>
      <c r="AJ467" s="164"/>
    </row>
    <row r="468" spans="1:36" ht="15.75" customHeight="1" x14ac:dyDescent="0.2">
      <c r="A468" s="164"/>
      <c r="B468" s="164"/>
      <c r="C468" s="164"/>
      <c r="D468" s="164"/>
      <c r="E468" s="164"/>
      <c r="F468" s="164"/>
      <c r="G468" s="164"/>
      <c r="H468" s="164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</row>
    <row r="469" spans="1:36" ht="15.75" customHeight="1" x14ac:dyDescent="0.2">
      <c r="A469" s="164"/>
      <c r="B469" s="164"/>
      <c r="C469" s="164"/>
      <c r="D469" s="164"/>
      <c r="E469" s="164"/>
      <c r="F469" s="164"/>
      <c r="G469" s="164"/>
      <c r="H469" s="164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  <c r="AB469" s="164"/>
      <c r="AC469" s="164"/>
      <c r="AD469" s="164"/>
      <c r="AE469" s="164"/>
      <c r="AF469" s="164"/>
      <c r="AG469" s="164"/>
      <c r="AH469" s="164"/>
      <c r="AI469" s="164"/>
      <c r="AJ469" s="164"/>
    </row>
    <row r="470" spans="1:36" ht="15.75" customHeight="1" x14ac:dyDescent="0.2">
      <c r="A470" s="164"/>
      <c r="B470" s="164"/>
      <c r="C470" s="164"/>
      <c r="D470" s="164"/>
      <c r="E470" s="164"/>
      <c r="F470" s="164"/>
      <c r="G470" s="164"/>
      <c r="H470" s="164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4"/>
      <c r="AG470" s="164"/>
      <c r="AH470" s="164"/>
      <c r="AI470" s="164"/>
      <c r="AJ470" s="164"/>
    </row>
    <row r="471" spans="1:36" ht="15.75" customHeight="1" x14ac:dyDescent="0.2">
      <c r="A471" s="164"/>
      <c r="B471" s="164"/>
      <c r="C471" s="164"/>
      <c r="D471" s="164"/>
      <c r="E471" s="164"/>
      <c r="F471" s="164"/>
      <c r="G471" s="164"/>
      <c r="H471" s="164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</row>
    <row r="472" spans="1:36" ht="15.75" customHeight="1" x14ac:dyDescent="0.2">
      <c r="A472" s="164"/>
      <c r="B472" s="164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</row>
    <row r="473" spans="1:36" ht="15.75" customHeight="1" x14ac:dyDescent="0.2">
      <c r="A473" s="164"/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</row>
    <row r="474" spans="1:36" ht="15.75" customHeight="1" x14ac:dyDescent="0.2">
      <c r="A474" s="164"/>
      <c r="B474" s="164"/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</row>
    <row r="475" spans="1:36" ht="15.75" customHeight="1" x14ac:dyDescent="0.2">
      <c r="A475" s="164"/>
      <c r="B475" s="164"/>
      <c r="C475" s="164"/>
      <c r="D475" s="164"/>
      <c r="E475" s="164"/>
      <c r="F475" s="164"/>
      <c r="G475" s="164"/>
      <c r="H475" s="164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</row>
    <row r="476" spans="1:36" ht="15.75" customHeight="1" x14ac:dyDescent="0.2">
      <c r="A476" s="164"/>
      <c r="B476" s="164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  <c r="AB476" s="164"/>
      <c r="AC476" s="164"/>
      <c r="AD476" s="164"/>
      <c r="AE476" s="164"/>
      <c r="AF476" s="164"/>
      <c r="AG476" s="164"/>
      <c r="AH476" s="164"/>
      <c r="AI476" s="164"/>
      <c r="AJ476" s="164"/>
    </row>
    <row r="477" spans="1:36" ht="15.75" customHeight="1" x14ac:dyDescent="0.2">
      <c r="A477" s="164"/>
      <c r="B477" s="164"/>
      <c r="C477" s="164"/>
      <c r="D477" s="164"/>
      <c r="E477" s="164"/>
      <c r="F477" s="164"/>
      <c r="G477" s="164"/>
      <c r="H477" s="164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</row>
    <row r="478" spans="1:36" ht="15.75" customHeight="1" x14ac:dyDescent="0.2">
      <c r="A478" s="164"/>
      <c r="B478" s="164"/>
      <c r="C478" s="164"/>
      <c r="D478" s="164"/>
      <c r="E478" s="164"/>
      <c r="F478" s="164"/>
      <c r="G478" s="164"/>
      <c r="H478" s="164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  <c r="AB478" s="164"/>
      <c r="AC478" s="164"/>
      <c r="AD478" s="164"/>
      <c r="AE478" s="164"/>
      <c r="AF478" s="164"/>
      <c r="AG478" s="164"/>
      <c r="AH478" s="164"/>
      <c r="AI478" s="164"/>
      <c r="AJ478" s="164"/>
    </row>
    <row r="479" spans="1:36" ht="15.75" customHeight="1" x14ac:dyDescent="0.2">
      <c r="A479" s="164"/>
      <c r="B479" s="164"/>
      <c r="C479" s="164"/>
      <c r="D479" s="164"/>
      <c r="E479" s="164"/>
      <c r="F479" s="164"/>
      <c r="G479" s="164"/>
      <c r="H479" s="164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</row>
    <row r="480" spans="1:36" ht="15.75" customHeight="1" x14ac:dyDescent="0.2">
      <c r="A480" s="164"/>
      <c r="B480" s="164"/>
      <c r="C480" s="164"/>
      <c r="D480" s="164"/>
      <c r="E480" s="164"/>
      <c r="F480" s="164"/>
      <c r="G480" s="164"/>
      <c r="H480" s="164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  <c r="AB480" s="164"/>
      <c r="AC480" s="164"/>
      <c r="AD480" s="164"/>
      <c r="AE480" s="164"/>
      <c r="AF480" s="164"/>
      <c r="AG480" s="164"/>
      <c r="AH480" s="164"/>
      <c r="AI480" s="164"/>
      <c r="AJ480" s="164"/>
    </row>
    <row r="481" spans="1:36" ht="15.75" customHeight="1" x14ac:dyDescent="0.2">
      <c r="A481" s="164"/>
      <c r="B481" s="164"/>
      <c r="C481" s="164"/>
      <c r="D481" s="164"/>
      <c r="E481" s="164"/>
      <c r="F481" s="164"/>
      <c r="G481" s="164"/>
      <c r="H481" s="164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4"/>
      <c r="AD481" s="164"/>
      <c r="AE481" s="164"/>
      <c r="AF481" s="164"/>
      <c r="AG481" s="164"/>
      <c r="AH481" s="164"/>
      <c r="AI481" s="164"/>
      <c r="AJ481" s="164"/>
    </row>
    <row r="482" spans="1:36" ht="15.75" customHeight="1" x14ac:dyDescent="0.2">
      <c r="A482" s="164"/>
      <c r="B482" s="164"/>
      <c r="C482" s="164"/>
      <c r="D482" s="164"/>
      <c r="E482" s="164"/>
      <c r="F482" s="164"/>
      <c r="G482" s="164"/>
      <c r="H482" s="164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</row>
    <row r="483" spans="1:36" ht="15.75" customHeight="1" x14ac:dyDescent="0.2">
      <c r="A483" s="164"/>
      <c r="B483" s="164"/>
      <c r="C483" s="164"/>
      <c r="D483" s="164"/>
      <c r="E483" s="164"/>
      <c r="F483" s="164"/>
      <c r="G483" s="164"/>
      <c r="H483" s="164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</row>
    <row r="484" spans="1:36" ht="15.75" customHeight="1" x14ac:dyDescent="0.2">
      <c r="A484" s="164"/>
      <c r="B484" s="164"/>
      <c r="C484" s="164"/>
      <c r="D484" s="164"/>
      <c r="E484" s="164"/>
      <c r="F484" s="164"/>
      <c r="G484" s="164"/>
      <c r="H484" s="164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</row>
    <row r="485" spans="1:36" ht="15.75" customHeight="1" x14ac:dyDescent="0.2">
      <c r="A485" s="164"/>
      <c r="B485" s="164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</row>
    <row r="486" spans="1:36" ht="15.75" customHeight="1" x14ac:dyDescent="0.2">
      <c r="A486" s="164"/>
      <c r="B486" s="164"/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</row>
    <row r="487" spans="1:36" ht="15.75" customHeight="1" x14ac:dyDescent="0.2">
      <c r="A487" s="164"/>
      <c r="B487" s="164"/>
      <c r="C487" s="164"/>
      <c r="D487" s="164"/>
      <c r="E487" s="164"/>
      <c r="F487" s="164"/>
      <c r="G487" s="164"/>
      <c r="H487" s="164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</row>
    <row r="488" spans="1:36" ht="15.75" customHeight="1" x14ac:dyDescent="0.2">
      <c r="A488" s="164"/>
      <c r="B488" s="164"/>
      <c r="C488" s="164"/>
      <c r="D488" s="164"/>
      <c r="E488" s="164"/>
      <c r="F488" s="164"/>
      <c r="G488" s="164"/>
      <c r="H488" s="164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  <c r="AB488" s="164"/>
      <c r="AC488" s="164"/>
      <c r="AD488" s="164"/>
      <c r="AE488" s="164"/>
      <c r="AF488" s="164"/>
      <c r="AG488" s="164"/>
      <c r="AH488" s="164"/>
      <c r="AI488" s="164"/>
      <c r="AJ488" s="164"/>
    </row>
    <row r="489" spans="1:36" ht="15.75" customHeight="1" x14ac:dyDescent="0.2">
      <c r="A489" s="164"/>
      <c r="B489" s="164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</row>
    <row r="490" spans="1:36" ht="15.75" customHeight="1" x14ac:dyDescent="0.2">
      <c r="A490" s="164"/>
      <c r="B490" s="164"/>
      <c r="C490" s="164"/>
      <c r="D490" s="164"/>
      <c r="E490" s="164"/>
      <c r="F490" s="164"/>
      <c r="G490" s="164"/>
      <c r="H490" s="164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  <c r="AB490" s="164"/>
      <c r="AC490" s="164"/>
      <c r="AD490" s="164"/>
      <c r="AE490" s="164"/>
      <c r="AF490" s="164"/>
      <c r="AG490" s="164"/>
      <c r="AH490" s="164"/>
      <c r="AI490" s="164"/>
      <c r="AJ490" s="164"/>
    </row>
    <row r="491" spans="1:36" ht="15.75" customHeight="1" x14ac:dyDescent="0.2">
      <c r="A491" s="164"/>
      <c r="B491" s="164"/>
      <c r="C491" s="164"/>
      <c r="D491" s="164"/>
      <c r="E491" s="164"/>
      <c r="F491" s="164"/>
      <c r="G491" s="164"/>
      <c r="H491" s="164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  <c r="AB491" s="164"/>
      <c r="AC491" s="164"/>
      <c r="AD491" s="164"/>
      <c r="AE491" s="164"/>
      <c r="AF491" s="164"/>
      <c r="AG491" s="164"/>
      <c r="AH491" s="164"/>
      <c r="AI491" s="164"/>
      <c r="AJ491" s="164"/>
    </row>
    <row r="492" spans="1:36" ht="15.75" customHeight="1" x14ac:dyDescent="0.2">
      <c r="A492" s="164"/>
      <c r="B492" s="164"/>
      <c r="C492" s="164"/>
      <c r="D492" s="164"/>
      <c r="E492" s="164"/>
      <c r="F492" s="164"/>
      <c r="G492" s="164"/>
      <c r="H492" s="164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  <c r="AB492" s="164"/>
      <c r="AC492" s="164"/>
      <c r="AD492" s="164"/>
      <c r="AE492" s="164"/>
      <c r="AF492" s="164"/>
      <c r="AG492" s="164"/>
      <c r="AH492" s="164"/>
      <c r="AI492" s="164"/>
      <c r="AJ492" s="164"/>
    </row>
    <row r="493" spans="1:36" ht="15.75" customHeight="1" x14ac:dyDescent="0.2">
      <c r="A493" s="164"/>
      <c r="B493" s="164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</row>
    <row r="494" spans="1:36" ht="15.75" customHeight="1" x14ac:dyDescent="0.2">
      <c r="A494" s="164"/>
      <c r="B494" s="164"/>
      <c r="C494" s="164"/>
      <c r="D494" s="164"/>
      <c r="E494" s="164"/>
      <c r="F494" s="164"/>
      <c r="G494" s="164"/>
      <c r="H494" s="164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</row>
    <row r="495" spans="1:36" ht="15.75" customHeight="1" x14ac:dyDescent="0.2">
      <c r="A495" s="164"/>
      <c r="B495" s="164"/>
      <c r="C495" s="164"/>
      <c r="D495" s="164"/>
      <c r="E495" s="164"/>
      <c r="F495" s="164"/>
      <c r="G495" s="164"/>
      <c r="H495" s="164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  <c r="AB495" s="164"/>
      <c r="AC495" s="164"/>
      <c r="AD495" s="164"/>
      <c r="AE495" s="164"/>
      <c r="AF495" s="164"/>
      <c r="AG495" s="164"/>
      <c r="AH495" s="164"/>
      <c r="AI495" s="164"/>
      <c r="AJ495" s="164"/>
    </row>
    <row r="496" spans="1:36" ht="15.75" customHeight="1" x14ac:dyDescent="0.2">
      <c r="A496" s="164"/>
      <c r="B496" s="164"/>
      <c r="C496" s="164"/>
      <c r="D496" s="164"/>
      <c r="E496" s="164"/>
      <c r="F496" s="164"/>
      <c r="G496" s="164"/>
      <c r="H496" s="164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</row>
    <row r="497" spans="1:36" ht="15.75" customHeight="1" x14ac:dyDescent="0.2">
      <c r="A497" s="164"/>
      <c r="B497" s="164"/>
      <c r="C497" s="164"/>
      <c r="D497" s="164"/>
      <c r="E497" s="164"/>
      <c r="F497" s="164"/>
      <c r="G497" s="164"/>
      <c r="H497" s="164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</row>
    <row r="498" spans="1:36" ht="15.75" customHeight="1" x14ac:dyDescent="0.2">
      <c r="A498" s="164"/>
      <c r="B498" s="164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  <c r="AB498" s="164"/>
      <c r="AC498" s="164"/>
      <c r="AD498" s="164"/>
      <c r="AE498" s="164"/>
      <c r="AF498" s="164"/>
      <c r="AG498" s="164"/>
      <c r="AH498" s="164"/>
      <c r="AI498" s="164"/>
      <c r="AJ498" s="164"/>
    </row>
    <row r="499" spans="1:36" ht="15.75" customHeight="1" x14ac:dyDescent="0.2">
      <c r="A499" s="164"/>
      <c r="B499" s="164"/>
      <c r="C499" s="164"/>
      <c r="D499" s="164"/>
      <c r="E499" s="164"/>
      <c r="F499" s="164"/>
      <c r="G499" s="164"/>
      <c r="H499" s="164"/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</row>
    <row r="500" spans="1:36" ht="15.75" customHeight="1" x14ac:dyDescent="0.2">
      <c r="A500" s="164"/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</row>
    <row r="501" spans="1:36" ht="15.75" customHeight="1" x14ac:dyDescent="0.2">
      <c r="A501" s="164"/>
      <c r="B501" s="164"/>
      <c r="C501" s="164"/>
      <c r="D501" s="164"/>
      <c r="E501" s="164"/>
      <c r="F501" s="164"/>
      <c r="G501" s="164"/>
      <c r="H501" s="164"/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</row>
    <row r="502" spans="1:36" ht="15.75" customHeight="1" x14ac:dyDescent="0.2">
      <c r="A502" s="164"/>
      <c r="B502" s="164"/>
      <c r="C502" s="164"/>
      <c r="D502" s="164"/>
      <c r="E502" s="164"/>
      <c r="F502" s="164"/>
      <c r="G502" s="164"/>
      <c r="H502" s="164"/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</row>
    <row r="503" spans="1:36" ht="15.75" customHeight="1" x14ac:dyDescent="0.2">
      <c r="A503" s="164"/>
      <c r="B503" s="164"/>
      <c r="C503" s="164"/>
      <c r="D503" s="164"/>
      <c r="E503" s="164"/>
      <c r="F503" s="164"/>
      <c r="G503" s="164"/>
      <c r="H503" s="164"/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</row>
    <row r="504" spans="1:36" ht="15.75" customHeight="1" x14ac:dyDescent="0.2">
      <c r="A504" s="164"/>
      <c r="B504" s="164"/>
      <c r="C504" s="164"/>
      <c r="D504" s="164"/>
      <c r="E504" s="164"/>
      <c r="F504" s="164"/>
      <c r="G504" s="164"/>
      <c r="H504" s="164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4"/>
      <c r="AG504" s="164"/>
      <c r="AH504" s="164"/>
      <c r="AI504" s="164"/>
      <c r="AJ504" s="164"/>
    </row>
    <row r="505" spans="1:36" ht="15.75" customHeight="1" x14ac:dyDescent="0.2">
      <c r="A505" s="164"/>
      <c r="B505" s="164"/>
      <c r="C505" s="164"/>
      <c r="D505" s="164"/>
      <c r="E505" s="164"/>
      <c r="F505" s="164"/>
      <c r="G505" s="164"/>
      <c r="H505" s="164"/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4"/>
      <c r="AG505" s="164"/>
      <c r="AH505" s="164"/>
      <c r="AI505" s="164"/>
      <c r="AJ505" s="164"/>
    </row>
    <row r="506" spans="1:36" ht="15.75" customHeight="1" x14ac:dyDescent="0.2">
      <c r="A506" s="164"/>
      <c r="B506" s="164"/>
      <c r="C506" s="164"/>
      <c r="D506" s="164"/>
      <c r="E506" s="164"/>
      <c r="F506" s="164"/>
      <c r="G506" s="164"/>
      <c r="H506" s="164"/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  <c r="AB506" s="164"/>
      <c r="AC506" s="164"/>
      <c r="AD506" s="164"/>
      <c r="AE506" s="164"/>
      <c r="AF506" s="164"/>
      <c r="AG506" s="164"/>
      <c r="AH506" s="164"/>
      <c r="AI506" s="164"/>
      <c r="AJ506" s="164"/>
    </row>
    <row r="507" spans="1:36" ht="15.75" customHeight="1" x14ac:dyDescent="0.2">
      <c r="A507" s="164"/>
      <c r="B507" s="164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  <c r="AB507" s="164"/>
      <c r="AC507" s="164"/>
      <c r="AD507" s="164"/>
      <c r="AE507" s="164"/>
      <c r="AF507" s="164"/>
      <c r="AG507" s="164"/>
      <c r="AH507" s="164"/>
      <c r="AI507" s="164"/>
      <c r="AJ507" s="164"/>
    </row>
    <row r="508" spans="1:36" ht="15.75" customHeight="1" x14ac:dyDescent="0.2">
      <c r="A508" s="164"/>
      <c r="B508" s="164"/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  <c r="AB508" s="164"/>
      <c r="AC508" s="164"/>
      <c r="AD508" s="164"/>
      <c r="AE508" s="164"/>
      <c r="AF508" s="164"/>
      <c r="AG508" s="164"/>
      <c r="AH508" s="164"/>
      <c r="AI508" s="164"/>
      <c r="AJ508" s="164"/>
    </row>
    <row r="509" spans="1:36" ht="15.75" customHeight="1" x14ac:dyDescent="0.2">
      <c r="A509" s="164"/>
      <c r="B509" s="164"/>
      <c r="C509" s="164"/>
      <c r="D509" s="164"/>
      <c r="E509" s="164"/>
      <c r="F509" s="164"/>
      <c r="G509" s="164"/>
      <c r="H509" s="164"/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</row>
    <row r="510" spans="1:36" ht="15.75" customHeight="1" x14ac:dyDescent="0.2">
      <c r="A510" s="164"/>
      <c r="B510" s="164"/>
      <c r="C510" s="164"/>
      <c r="D510" s="164"/>
      <c r="E510" s="164"/>
      <c r="F510" s="164"/>
      <c r="G510" s="164"/>
      <c r="H510" s="164"/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4"/>
      <c r="AG510" s="164"/>
      <c r="AH510" s="164"/>
      <c r="AI510" s="164"/>
      <c r="AJ510" s="164"/>
    </row>
    <row r="511" spans="1:36" ht="15.75" customHeight="1" x14ac:dyDescent="0.2">
      <c r="A511" s="164"/>
      <c r="B511" s="164"/>
      <c r="C511" s="164"/>
      <c r="D511" s="164"/>
      <c r="E511" s="164"/>
      <c r="F511" s="164"/>
      <c r="G511" s="164"/>
      <c r="H511" s="164"/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4"/>
      <c r="AG511" s="164"/>
      <c r="AH511" s="164"/>
      <c r="AI511" s="164"/>
      <c r="AJ511" s="164"/>
    </row>
    <row r="512" spans="1:36" ht="15.75" customHeight="1" x14ac:dyDescent="0.2">
      <c r="A512" s="164"/>
      <c r="B512" s="164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</row>
    <row r="513" spans="1:36" ht="15.75" customHeight="1" x14ac:dyDescent="0.2">
      <c r="A513" s="164"/>
      <c r="B513" s="164"/>
      <c r="C513" s="164"/>
      <c r="D513" s="164"/>
      <c r="E513" s="164"/>
      <c r="F513" s="164"/>
      <c r="G513" s="164"/>
      <c r="H513" s="164"/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</row>
    <row r="514" spans="1:36" ht="15.75" customHeight="1" x14ac:dyDescent="0.2">
      <c r="A514" s="164"/>
      <c r="B514" s="164"/>
      <c r="C514" s="164"/>
      <c r="D514" s="164"/>
      <c r="E514" s="164"/>
      <c r="F514" s="164"/>
      <c r="G514" s="164"/>
      <c r="H514" s="164"/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</row>
    <row r="515" spans="1:36" ht="15.75" customHeight="1" x14ac:dyDescent="0.2">
      <c r="A515" s="164"/>
      <c r="B515" s="164"/>
      <c r="C515" s="164"/>
      <c r="D515" s="164"/>
      <c r="E515" s="164"/>
      <c r="F515" s="164"/>
      <c r="G515" s="164"/>
      <c r="H515" s="164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</row>
    <row r="516" spans="1:36" ht="15.75" customHeight="1" x14ac:dyDescent="0.2">
      <c r="A516" s="164"/>
      <c r="B516" s="164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</row>
    <row r="517" spans="1:36" ht="15.75" customHeight="1" x14ac:dyDescent="0.2">
      <c r="A517" s="164"/>
      <c r="B517" s="164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</row>
    <row r="518" spans="1:36" ht="15.75" customHeight="1" x14ac:dyDescent="0.2">
      <c r="A518" s="164"/>
      <c r="B518" s="164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</row>
    <row r="519" spans="1:36" ht="15.75" customHeight="1" x14ac:dyDescent="0.2">
      <c r="A519" s="164"/>
      <c r="B519" s="164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</row>
    <row r="520" spans="1:36" ht="15.75" customHeight="1" x14ac:dyDescent="0.2">
      <c r="A520" s="164"/>
      <c r="B520" s="164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</row>
    <row r="521" spans="1:36" ht="15.75" customHeight="1" x14ac:dyDescent="0.2">
      <c r="A521" s="164"/>
      <c r="B521" s="164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</row>
    <row r="522" spans="1:36" ht="15.75" customHeight="1" x14ac:dyDescent="0.2">
      <c r="A522" s="164"/>
      <c r="B522" s="164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</row>
    <row r="523" spans="1:36" ht="15.75" customHeight="1" x14ac:dyDescent="0.2">
      <c r="A523" s="164"/>
      <c r="B523" s="164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  <c r="AB523" s="164"/>
      <c r="AC523" s="164"/>
      <c r="AD523" s="164"/>
      <c r="AE523" s="164"/>
      <c r="AF523" s="164"/>
      <c r="AG523" s="164"/>
      <c r="AH523" s="164"/>
      <c r="AI523" s="164"/>
      <c r="AJ523" s="164"/>
    </row>
    <row r="524" spans="1:36" ht="15.75" customHeight="1" x14ac:dyDescent="0.2">
      <c r="A524" s="164"/>
      <c r="B524" s="164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</row>
    <row r="525" spans="1:36" ht="15.75" customHeight="1" x14ac:dyDescent="0.2">
      <c r="A525" s="164"/>
      <c r="B525" s="164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</row>
    <row r="526" spans="1:36" ht="15.75" customHeight="1" x14ac:dyDescent="0.2">
      <c r="A526" s="164"/>
      <c r="B526" s="164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</row>
    <row r="527" spans="1:36" ht="15.75" customHeight="1" x14ac:dyDescent="0.2">
      <c r="A527" s="164"/>
      <c r="B527" s="164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  <c r="AB527" s="164"/>
      <c r="AC527" s="164"/>
      <c r="AD527" s="164"/>
      <c r="AE527" s="164"/>
      <c r="AF527" s="164"/>
      <c r="AG527" s="164"/>
      <c r="AH527" s="164"/>
      <c r="AI527" s="164"/>
      <c r="AJ527" s="164"/>
    </row>
    <row r="528" spans="1:36" ht="15.75" customHeight="1" x14ac:dyDescent="0.2">
      <c r="A528" s="164"/>
      <c r="B528" s="164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</row>
    <row r="529" spans="1:36" ht="15.75" customHeight="1" x14ac:dyDescent="0.2">
      <c r="A529" s="164"/>
      <c r="B529" s="164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</row>
    <row r="530" spans="1:36" ht="15.75" customHeight="1" x14ac:dyDescent="0.2">
      <c r="A530" s="164"/>
      <c r="B530" s="164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</row>
    <row r="531" spans="1:36" ht="15.75" customHeight="1" x14ac:dyDescent="0.2">
      <c r="A531" s="164"/>
      <c r="B531" s="164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</row>
    <row r="532" spans="1:36" ht="15.75" customHeight="1" x14ac:dyDescent="0.2">
      <c r="A532" s="164"/>
      <c r="B532" s="164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</row>
    <row r="533" spans="1:36" ht="15.75" customHeight="1" x14ac:dyDescent="0.2">
      <c r="A533" s="164"/>
      <c r="B533" s="164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</row>
    <row r="534" spans="1:36" ht="15.75" customHeight="1" x14ac:dyDescent="0.2">
      <c r="A534" s="164"/>
      <c r="B534" s="164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</row>
    <row r="535" spans="1:36" ht="15.75" customHeight="1" x14ac:dyDescent="0.2">
      <c r="A535" s="164"/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</row>
    <row r="536" spans="1:36" ht="15.75" customHeight="1" x14ac:dyDescent="0.2">
      <c r="A536" s="164"/>
      <c r="B536" s="164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</row>
    <row r="537" spans="1:36" ht="15.75" customHeight="1" x14ac:dyDescent="0.2">
      <c r="A537" s="164"/>
      <c r="B537" s="164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</row>
    <row r="538" spans="1:36" ht="15.75" customHeight="1" x14ac:dyDescent="0.2">
      <c r="A538" s="164"/>
      <c r="B538" s="164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</row>
    <row r="539" spans="1:36" ht="15.75" customHeight="1" x14ac:dyDescent="0.2">
      <c r="A539" s="164"/>
      <c r="B539" s="164"/>
      <c r="C539" s="164"/>
      <c r="D539" s="164"/>
      <c r="E539" s="164"/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</row>
    <row r="540" spans="1:36" ht="15.75" customHeight="1" x14ac:dyDescent="0.2">
      <c r="A540" s="164"/>
      <c r="B540" s="164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</row>
    <row r="541" spans="1:36" ht="15.75" customHeight="1" x14ac:dyDescent="0.2">
      <c r="A541" s="164"/>
      <c r="B541" s="164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</row>
    <row r="542" spans="1:36" ht="15.75" customHeight="1" x14ac:dyDescent="0.2">
      <c r="A542" s="164"/>
      <c r="B542" s="164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</row>
    <row r="543" spans="1:36" ht="15.75" customHeight="1" x14ac:dyDescent="0.2">
      <c r="A543" s="164"/>
      <c r="B543" s="164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  <c r="AB543" s="164"/>
      <c r="AC543" s="164"/>
      <c r="AD543" s="164"/>
      <c r="AE543" s="164"/>
      <c r="AF543" s="164"/>
      <c r="AG543" s="164"/>
      <c r="AH543" s="164"/>
      <c r="AI543" s="164"/>
      <c r="AJ543" s="164"/>
    </row>
    <row r="544" spans="1:36" ht="15.75" customHeight="1" x14ac:dyDescent="0.2">
      <c r="A544" s="164"/>
      <c r="B544" s="164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4"/>
      <c r="AD544" s="164"/>
      <c r="AE544" s="164"/>
      <c r="AF544" s="164"/>
      <c r="AG544" s="164"/>
      <c r="AH544" s="164"/>
      <c r="AI544" s="164"/>
      <c r="AJ544" s="164"/>
    </row>
    <row r="545" spans="1:36" ht="15.75" customHeight="1" x14ac:dyDescent="0.2">
      <c r="A545" s="164"/>
      <c r="B545" s="164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  <c r="AB545" s="164"/>
      <c r="AC545" s="164"/>
      <c r="AD545" s="164"/>
      <c r="AE545" s="164"/>
      <c r="AF545" s="164"/>
      <c r="AG545" s="164"/>
      <c r="AH545" s="164"/>
      <c r="AI545" s="164"/>
      <c r="AJ545" s="164"/>
    </row>
    <row r="546" spans="1:36" ht="15.75" customHeight="1" x14ac:dyDescent="0.2">
      <c r="A546" s="164"/>
      <c r="B546" s="164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  <c r="AB546" s="164"/>
      <c r="AC546" s="164"/>
      <c r="AD546" s="164"/>
      <c r="AE546" s="164"/>
      <c r="AF546" s="164"/>
      <c r="AG546" s="164"/>
      <c r="AH546" s="164"/>
      <c r="AI546" s="164"/>
      <c r="AJ546" s="164"/>
    </row>
    <row r="547" spans="1:36" ht="15.75" customHeight="1" x14ac:dyDescent="0.2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  <c r="AB547" s="164"/>
      <c r="AC547" s="164"/>
      <c r="AD547" s="164"/>
      <c r="AE547" s="164"/>
      <c r="AF547" s="164"/>
      <c r="AG547" s="164"/>
      <c r="AH547" s="164"/>
      <c r="AI547" s="164"/>
      <c r="AJ547" s="164"/>
    </row>
    <row r="548" spans="1:36" ht="15.75" customHeight="1" x14ac:dyDescent="0.2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  <c r="AB548" s="164"/>
      <c r="AC548" s="164"/>
      <c r="AD548" s="164"/>
      <c r="AE548" s="164"/>
      <c r="AF548" s="164"/>
      <c r="AG548" s="164"/>
      <c r="AH548" s="164"/>
      <c r="AI548" s="164"/>
      <c r="AJ548" s="164"/>
    </row>
    <row r="549" spans="1:36" ht="15.75" customHeight="1" x14ac:dyDescent="0.2">
      <c r="A549" s="164"/>
      <c r="B549" s="164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  <c r="AB549" s="164"/>
      <c r="AC549" s="164"/>
      <c r="AD549" s="164"/>
      <c r="AE549" s="164"/>
      <c r="AF549" s="164"/>
      <c r="AG549" s="164"/>
      <c r="AH549" s="164"/>
      <c r="AI549" s="164"/>
      <c r="AJ549" s="164"/>
    </row>
    <row r="550" spans="1:36" ht="15.75" customHeight="1" x14ac:dyDescent="0.2">
      <c r="A550" s="164"/>
      <c r="B550" s="164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  <c r="AB550" s="164"/>
      <c r="AC550" s="164"/>
      <c r="AD550" s="164"/>
      <c r="AE550" s="164"/>
      <c r="AF550" s="164"/>
      <c r="AG550" s="164"/>
      <c r="AH550" s="164"/>
      <c r="AI550" s="164"/>
      <c r="AJ550" s="164"/>
    </row>
    <row r="551" spans="1:36" ht="15.75" customHeight="1" x14ac:dyDescent="0.2">
      <c r="A551" s="164"/>
      <c r="B551" s="164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</row>
    <row r="552" spans="1:36" ht="15.75" customHeight="1" x14ac:dyDescent="0.2">
      <c r="A552" s="164"/>
      <c r="B552" s="164"/>
      <c r="C552" s="164"/>
      <c r="D552" s="164"/>
      <c r="E552" s="164"/>
      <c r="F552" s="164"/>
      <c r="G552" s="164"/>
      <c r="H552" s="164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  <c r="AB552" s="164"/>
      <c r="AC552" s="164"/>
      <c r="AD552" s="164"/>
      <c r="AE552" s="164"/>
      <c r="AF552" s="164"/>
      <c r="AG552" s="164"/>
      <c r="AH552" s="164"/>
      <c r="AI552" s="164"/>
      <c r="AJ552" s="164"/>
    </row>
    <row r="553" spans="1:36" ht="15.75" customHeight="1" x14ac:dyDescent="0.2">
      <c r="A553" s="164"/>
      <c r="B553" s="164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4"/>
      <c r="AG553" s="164"/>
      <c r="AH553" s="164"/>
      <c r="AI553" s="164"/>
      <c r="AJ553" s="164"/>
    </row>
    <row r="554" spans="1:36" ht="15.75" customHeight="1" x14ac:dyDescent="0.2">
      <c r="A554" s="164"/>
      <c r="B554" s="164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4"/>
      <c r="AG554" s="164"/>
      <c r="AH554" s="164"/>
      <c r="AI554" s="164"/>
      <c r="AJ554" s="164"/>
    </row>
    <row r="555" spans="1:36" ht="15.75" customHeight="1" x14ac:dyDescent="0.2">
      <c r="A555" s="164"/>
      <c r="B555" s="164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4"/>
      <c r="AG555" s="164"/>
      <c r="AH555" s="164"/>
      <c r="AI555" s="164"/>
      <c r="AJ555" s="164"/>
    </row>
    <row r="556" spans="1:36" ht="15.75" customHeight="1" x14ac:dyDescent="0.2">
      <c r="A556" s="164"/>
      <c r="B556" s="164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</row>
    <row r="557" spans="1:36" ht="15.75" customHeight="1" x14ac:dyDescent="0.2">
      <c r="A557" s="164"/>
      <c r="B557" s="164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  <c r="AB557" s="164"/>
      <c r="AC557" s="164"/>
      <c r="AD557" s="164"/>
      <c r="AE557" s="164"/>
      <c r="AF557" s="164"/>
      <c r="AG557" s="164"/>
      <c r="AH557" s="164"/>
      <c r="AI557" s="164"/>
      <c r="AJ557" s="164"/>
    </row>
    <row r="558" spans="1:36" ht="15.75" customHeight="1" x14ac:dyDescent="0.2">
      <c r="A558" s="164"/>
      <c r="B558" s="164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</row>
    <row r="559" spans="1:36" ht="15.75" customHeight="1" x14ac:dyDescent="0.2">
      <c r="A559" s="164"/>
      <c r="B559" s="164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  <c r="AB559" s="164"/>
      <c r="AC559" s="164"/>
      <c r="AD559" s="164"/>
      <c r="AE559" s="164"/>
      <c r="AF559" s="164"/>
      <c r="AG559" s="164"/>
      <c r="AH559" s="164"/>
      <c r="AI559" s="164"/>
      <c r="AJ559" s="164"/>
    </row>
    <row r="560" spans="1:36" ht="15.75" customHeight="1" x14ac:dyDescent="0.2">
      <c r="A560" s="164"/>
      <c r="B560" s="164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  <c r="AB560" s="164"/>
      <c r="AC560" s="164"/>
      <c r="AD560" s="164"/>
      <c r="AE560" s="164"/>
      <c r="AF560" s="164"/>
      <c r="AG560" s="164"/>
      <c r="AH560" s="164"/>
      <c r="AI560" s="164"/>
      <c r="AJ560" s="164"/>
    </row>
    <row r="561" spans="1:36" ht="15.75" customHeight="1" x14ac:dyDescent="0.2">
      <c r="A561" s="164"/>
      <c r="B561" s="164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  <c r="AB561" s="164"/>
      <c r="AC561" s="164"/>
      <c r="AD561" s="164"/>
      <c r="AE561" s="164"/>
      <c r="AF561" s="164"/>
      <c r="AG561" s="164"/>
      <c r="AH561" s="164"/>
      <c r="AI561" s="164"/>
      <c r="AJ561" s="164"/>
    </row>
    <row r="562" spans="1:36" ht="15.75" customHeight="1" x14ac:dyDescent="0.2">
      <c r="A562" s="164"/>
      <c r="B562" s="164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  <c r="AB562" s="164"/>
      <c r="AC562" s="164"/>
      <c r="AD562" s="164"/>
      <c r="AE562" s="164"/>
      <c r="AF562" s="164"/>
      <c r="AG562" s="164"/>
      <c r="AH562" s="164"/>
      <c r="AI562" s="164"/>
      <c r="AJ562" s="164"/>
    </row>
    <row r="563" spans="1:36" ht="15.75" customHeight="1" x14ac:dyDescent="0.2">
      <c r="A563" s="164"/>
      <c r="B563" s="164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  <c r="AB563" s="164"/>
      <c r="AC563" s="164"/>
      <c r="AD563" s="164"/>
      <c r="AE563" s="164"/>
      <c r="AF563" s="164"/>
      <c r="AG563" s="164"/>
      <c r="AH563" s="164"/>
      <c r="AI563" s="164"/>
      <c r="AJ563" s="164"/>
    </row>
    <row r="564" spans="1:36" ht="15.75" customHeight="1" x14ac:dyDescent="0.2">
      <c r="A564" s="164"/>
      <c r="B564" s="164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</row>
    <row r="565" spans="1:36" ht="15.75" customHeight="1" x14ac:dyDescent="0.2">
      <c r="A565" s="164"/>
      <c r="B565" s="164"/>
      <c r="C565" s="164"/>
      <c r="D565" s="164"/>
      <c r="E565" s="164"/>
      <c r="F565" s="164"/>
      <c r="G565" s="164"/>
      <c r="H565" s="164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</row>
    <row r="566" spans="1:36" ht="15.75" customHeight="1" x14ac:dyDescent="0.2">
      <c r="A566" s="164"/>
      <c r="B566" s="164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</row>
    <row r="567" spans="1:36" ht="15.75" customHeight="1" x14ac:dyDescent="0.2">
      <c r="A567" s="164"/>
      <c r="B567" s="164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</row>
    <row r="568" spans="1:36" ht="15.75" customHeight="1" x14ac:dyDescent="0.2">
      <c r="A568" s="164"/>
      <c r="B568" s="164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</row>
    <row r="569" spans="1:36" ht="15.75" customHeight="1" x14ac:dyDescent="0.2">
      <c r="A569" s="164"/>
      <c r="B569" s="164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</row>
    <row r="570" spans="1:36" ht="15.75" customHeight="1" x14ac:dyDescent="0.2">
      <c r="A570" s="164"/>
      <c r="B570" s="164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</row>
    <row r="571" spans="1:36" ht="15.75" customHeight="1" x14ac:dyDescent="0.2">
      <c r="A571" s="164"/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</row>
    <row r="572" spans="1:36" ht="15.75" customHeight="1" x14ac:dyDescent="0.2">
      <c r="A572" s="164"/>
      <c r="B572" s="164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</row>
    <row r="573" spans="1:36" ht="15.75" customHeight="1" x14ac:dyDescent="0.2">
      <c r="A573" s="164"/>
      <c r="B573" s="164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</row>
    <row r="574" spans="1:36" ht="15.75" customHeight="1" x14ac:dyDescent="0.2">
      <c r="A574" s="164"/>
      <c r="B574" s="164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</row>
    <row r="575" spans="1:36" ht="15.75" customHeight="1" x14ac:dyDescent="0.2">
      <c r="A575" s="164"/>
      <c r="B575" s="164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</row>
    <row r="576" spans="1:36" ht="15.75" customHeight="1" x14ac:dyDescent="0.2">
      <c r="A576" s="164"/>
      <c r="B576" s="164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</row>
    <row r="577" spans="1:36" ht="15.75" customHeight="1" x14ac:dyDescent="0.2">
      <c r="A577" s="164"/>
      <c r="B577" s="164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  <c r="AB577" s="164"/>
      <c r="AC577" s="164"/>
      <c r="AD577" s="164"/>
      <c r="AE577" s="164"/>
      <c r="AF577" s="164"/>
      <c r="AG577" s="164"/>
      <c r="AH577" s="164"/>
      <c r="AI577" s="164"/>
      <c r="AJ577" s="164"/>
    </row>
    <row r="578" spans="1:36" ht="15.75" customHeight="1" x14ac:dyDescent="0.2">
      <c r="A578" s="164"/>
      <c r="B578" s="164"/>
      <c r="C578" s="164"/>
      <c r="D578" s="164"/>
      <c r="E578" s="164"/>
      <c r="F578" s="164"/>
      <c r="G578" s="164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  <c r="AB578" s="164"/>
      <c r="AC578" s="164"/>
      <c r="AD578" s="164"/>
      <c r="AE578" s="164"/>
      <c r="AF578" s="164"/>
      <c r="AG578" s="164"/>
      <c r="AH578" s="164"/>
      <c r="AI578" s="164"/>
      <c r="AJ578" s="164"/>
    </row>
    <row r="579" spans="1:36" ht="15.75" customHeight="1" x14ac:dyDescent="0.2">
      <c r="A579" s="164"/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</row>
    <row r="580" spans="1:36" ht="15.75" customHeight="1" x14ac:dyDescent="0.2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</row>
    <row r="581" spans="1:36" ht="15.75" customHeight="1" x14ac:dyDescent="0.2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</row>
    <row r="582" spans="1:36" ht="15.75" customHeight="1" x14ac:dyDescent="0.2">
      <c r="A582" s="164"/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</row>
    <row r="583" spans="1:36" ht="15.75" customHeight="1" x14ac:dyDescent="0.2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</row>
    <row r="584" spans="1:36" ht="15.75" customHeight="1" x14ac:dyDescent="0.2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</row>
    <row r="585" spans="1:36" ht="15.75" customHeight="1" x14ac:dyDescent="0.2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</row>
    <row r="586" spans="1:36" ht="15.75" customHeight="1" x14ac:dyDescent="0.2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</row>
    <row r="587" spans="1:36" ht="15.75" customHeight="1" x14ac:dyDescent="0.2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</row>
    <row r="588" spans="1:36" ht="15.75" customHeight="1" x14ac:dyDescent="0.2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</row>
    <row r="589" spans="1:36" ht="15.75" customHeight="1" x14ac:dyDescent="0.2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</row>
    <row r="590" spans="1:36" ht="15.75" customHeight="1" x14ac:dyDescent="0.2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</row>
    <row r="591" spans="1:36" ht="15.75" customHeight="1" x14ac:dyDescent="0.2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</row>
    <row r="592" spans="1:36" ht="15.75" customHeight="1" x14ac:dyDescent="0.2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</row>
    <row r="593" spans="1:36" ht="15.75" customHeight="1" x14ac:dyDescent="0.2">
      <c r="A593" s="164"/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</row>
    <row r="594" spans="1:36" ht="15.75" customHeight="1" x14ac:dyDescent="0.2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</row>
    <row r="595" spans="1:36" ht="15.75" customHeight="1" x14ac:dyDescent="0.2">
      <c r="A595" s="164"/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</row>
    <row r="596" spans="1:36" ht="15.75" customHeight="1" x14ac:dyDescent="0.2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</row>
    <row r="597" spans="1:36" ht="15.75" customHeight="1" x14ac:dyDescent="0.2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</row>
    <row r="598" spans="1:36" ht="15.75" customHeight="1" x14ac:dyDescent="0.2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</row>
    <row r="599" spans="1:36" ht="15.75" customHeight="1" x14ac:dyDescent="0.2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</row>
    <row r="600" spans="1:36" ht="15.75" customHeight="1" x14ac:dyDescent="0.2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</row>
    <row r="601" spans="1:36" ht="15.75" customHeight="1" x14ac:dyDescent="0.2">
      <c r="A601" s="164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</row>
    <row r="602" spans="1:36" ht="15.75" customHeight="1" x14ac:dyDescent="0.2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</row>
    <row r="603" spans="1:36" ht="15.75" customHeight="1" x14ac:dyDescent="0.2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</row>
    <row r="604" spans="1:36" ht="15.75" customHeight="1" x14ac:dyDescent="0.2">
      <c r="A604" s="164"/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</row>
    <row r="605" spans="1:36" ht="15.75" customHeight="1" x14ac:dyDescent="0.2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</row>
    <row r="606" spans="1:36" ht="15.75" customHeight="1" x14ac:dyDescent="0.2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</row>
    <row r="607" spans="1:36" ht="15.75" customHeight="1" x14ac:dyDescent="0.2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</row>
    <row r="608" spans="1:36" ht="15.75" customHeight="1" x14ac:dyDescent="0.2">
      <c r="A608" s="164"/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</row>
    <row r="609" spans="1:36" ht="15.75" customHeight="1" x14ac:dyDescent="0.2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</row>
    <row r="610" spans="1:36" ht="15.75" customHeight="1" x14ac:dyDescent="0.2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</row>
    <row r="611" spans="1:36" ht="15.75" customHeight="1" x14ac:dyDescent="0.2">
      <c r="A611" s="164"/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</row>
    <row r="612" spans="1:36" ht="15.75" customHeight="1" x14ac:dyDescent="0.2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</row>
    <row r="613" spans="1:36" ht="15.75" customHeight="1" x14ac:dyDescent="0.2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</row>
    <row r="614" spans="1:36" ht="15.75" customHeight="1" x14ac:dyDescent="0.2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</row>
    <row r="615" spans="1:36" ht="15.75" customHeight="1" x14ac:dyDescent="0.2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</row>
    <row r="616" spans="1:36" ht="15.75" customHeight="1" x14ac:dyDescent="0.2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</row>
    <row r="617" spans="1:36" ht="15.75" customHeight="1" x14ac:dyDescent="0.2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</row>
    <row r="618" spans="1:36" ht="15.75" customHeight="1" x14ac:dyDescent="0.2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</row>
    <row r="619" spans="1:36" ht="15.75" customHeight="1" x14ac:dyDescent="0.2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</row>
    <row r="620" spans="1:36" ht="15.75" customHeight="1" x14ac:dyDescent="0.2">
      <c r="A620" s="164"/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</row>
    <row r="621" spans="1:36" ht="15.75" customHeight="1" x14ac:dyDescent="0.2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</row>
    <row r="622" spans="1:36" ht="15.75" customHeight="1" x14ac:dyDescent="0.2">
      <c r="A622" s="164"/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</row>
    <row r="623" spans="1:36" ht="15.75" customHeight="1" x14ac:dyDescent="0.2">
      <c r="A623" s="164"/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</row>
    <row r="624" spans="1:36" ht="15.75" customHeight="1" x14ac:dyDescent="0.2">
      <c r="A624" s="164"/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</row>
    <row r="625" spans="1:36" ht="15.75" customHeight="1" x14ac:dyDescent="0.2">
      <c r="A625" s="164"/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</row>
    <row r="626" spans="1:36" ht="15.75" customHeight="1" x14ac:dyDescent="0.2">
      <c r="A626" s="164"/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</row>
    <row r="627" spans="1:36" ht="15.75" customHeight="1" x14ac:dyDescent="0.2">
      <c r="A627" s="164"/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</row>
    <row r="628" spans="1:36" ht="15.75" customHeight="1" x14ac:dyDescent="0.2">
      <c r="A628" s="164"/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</row>
    <row r="629" spans="1:36" ht="15.75" customHeight="1" x14ac:dyDescent="0.2">
      <c r="A629" s="164"/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</row>
    <row r="630" spans="1:36" ht="15.75" customHeight="1" x14ac:dyDescent="0.2">
      <c r="A630" s="164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</row>
    <row r="631" spans="1:36" ht="15.75" customHeight="1" x14ac:dyDescent="0.2">
      <c r="A631" s="164"/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</row>
    <row r="632" spans="1:36" ht="15.75" customHeight="1" x14ac:dyDescent="0.2">
      <c r="A632" s="164"/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</row>
    <row r="633" spans="1:36" ht="15.75" customHeight="1" x14ac:dyDescent="0.2">
      <c r="A633" s="164"/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</row>
    <row r="634" spans="1:36" ht="15.75" customHeight="1" x14ac:dyDescent="0.2">
      <c r="A634" s="164"/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</row>
    <row r="635" spans="1:36" ht="15.75" customHeight="1" x14ac:dyDescent="0.2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</row>
    <row r="636" spans="1:36" ht="15.75" customHeight="1" x14ac:dyDescent="0.2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</row>
    <row r="637" spans="1:36" ht="15.75" customHeight="1" x14ac:dyDescent="0.2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</row>
    <row r="638" spans="1:36" ht="15.75" customHeight="1" x14ac:dyDescent="0.2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</row>
    <row r="639" spans="1:36" ht="15.75" customHeight="1" x14ac:dyDescent="0.2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</row>
    <row r="640" spans="1:36" ht="15.75" customHeight="1" x14ac:dyDescent="0.2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</row>
    <row r="641" spans="1:36" ht="15.75" customHeight="1" x14ac:dyDescent="0.2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</row>
    <row r="642" spans="1:36" ht="15.75" customHeight="1" x14ac:dyDescent="0.2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</row>
    <row r="643" spans="1:36" ht="15.75" customHeight="1" x14ac:dyDescent="0.2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</row>
    <row r="644" spans="1:36" ht="15.75" customHeight="1" x14ac:dyDescent="0.2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</row>
    <row r="645" spans="1:36" ht="15.75" customHeight="1" x14ac:dyDescent="0.2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</row>
    <row r="646" spans="1:36" ht="15.75" customHeight="1" x14ac:dyDescent="0.2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</row>
    <row r="647" spans="1:36" ht="15.75" customHeight="1" x14ac:dyDescent="0.2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</row>
    <row r="648" spans="1:36" ht="15.75" customHeight="1" x14ac:dyDescent="0.2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</row>
    <row r="649" spans="1:36" ht="15.75" customHeight="1" x14ac:dyDescent="0.2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</row>
    <row r="650" spans="1:36" ht="15.75" customHeight="1" x14ac:dyDescent="0.2">
      <c r="A650" s="164"/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</row>
    <row r="651" spans="1:36" ht="15.75" customHeight="1" x14ac:dyDescent="0.2">
      <c r="A651" s="164"/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</row>
    <row r="652" spans="1:36" ht="15.75" customHeight="1" x14ac:dyDescent="0.2">
      <c r="A652" s="164"/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</row>
    <row r="653" spans="1:36" ht="15.75" customHeight="1" x14ac:dyDescent="0.2">
      <c r="A653" s="164"/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</row>
    <row r="654" spans="1:36" ht="15.75" customHeight="1" x14ac:dyDescent="0.2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</row>
    <row r="655" spans="1:36" ht="15.75" customHeight="1" x14ac:dyDescent="0.2">
      <c r="A655" s="164"/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</row>
    <row r="656" spans="1:36" ht="15.75" customHeight="1" x14ac:dyDescent="0.2">
      <c r="A656" s="164"/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</row>
    <row r="657" spans="1:36" ht="15.75" customHeight="1" x14ac:dyDescent="0.2">
      <c r="A657" s="164"/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</row>
    <row r="658" spans="1:36" ht="15.75" customHeight="1" x14ac:dyDescent="0.2">
      <c r="A658" s="164"/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</row>
    <row r="659" spans="1:36" ht="15.75" customHeight="1" x14ac:dyDescent="0.2">
      <c r="A659" s="164"/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</row>
    <row r="660" spans="1:36" ht="15.75" customHeight="1" x14ac:dyDescent="0.2">
      <c r="A660" s="164"/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</row>
    <row r="661" spans="1:36" ht="15.75" customHeight="1" x14ac:dyDescent="0.2">
      <c r="A661" s="164"/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</row>
    <row r="662" spans="1:36" ht="15.75" customHeight="1" x14ac:dyDescent="0.2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</row>
    <row r="663" spans="1:36" ht="15.75" customHeight="1" x14ac:dyDescent="0.2">
      <c r="A663" s="164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</row>
    <row r="664" spans="1:36" ht="15.75" customHeight="1" x14ac:dyDescent="0.2">
      <c r="A664" s="164"/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</row>
    <row r="665" spans="1:36" ht="15.75" customHeight="1" x14ac:dyDescent="0.2">
      <c r="A665" s="164"/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</row>
    <row r="666" spans="1:36" ht="15.75" customHeight="1" x14ac:dyDescent="0.2">
      <c r="A666" s="164"/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</row>
    <row r="667" spans="1:36" ht="15.75" customHeight="1" x14ac:dyDescent="0.2">
      <c r="A667" s="164"/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</row>
    <row r="668" spans="1:36" ht="15.75" customHeight="1" x14ac:dyDescent="0.2">
      <c r="A668" s="164"/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</row>
    <row r="669" spans="1:36" ht="15.75" customHeight="1" x14ac:dyDescent="0.2">
      <c r="A669" s="164"/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</row>
    <row r="670" spans="1:36" ht="15.75" customHeight="1" x14ac:dyDescent="0.2">
      <c r="A670" s="164"/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</row>
    <row r="671" spans="1:36" ht="15.75" customHeight="1" x14ac:dyDescent="0.2">
      <c r="A671" s="164"/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</row>
    <row r="672" spans="1:36" ht="15.75" customHeight="1" x14ac:dyDescent="0.2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</row>
    <row r="673" spans="1:36" ht="15.75" customHeight="1" x14ac:dyDescent="0.2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</row>
    <row r="674" spans="1:36" ht="15.75" customHeight="1" x14ac:dyDescent="0.2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</row>
    <row r="675" spans="1:36" ht="15.75" customHeight="1" x14ac:dyDescent="0.2">
      <c r="A675" s="164"/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</row>
    <row r="676" spans="1:36" ht="15.75" customHeight="1" x14ac:dyDescent="0.2">
      <c r="A676" s="164"/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</row>
    <row r="677" spans="1:36" ht="15.75" customHeight="1" x14ac:dyDescent="0.2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</row>
    <row r="678" spans="1:36" ht="15.75" customHeight="1" x14ac:dyDescent="0.2">
      <c r="A678" s="164"/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</row>
    <row r="679" spans="1:36" ht="15.75" customHeight="1" x14ac:dyDescent="0.2">
      <c r="A679" s="164"/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</row>
    <row r="680" spans="1:36" ht="15.75" customHeight="1" x14ac:dyDescent="0.2">
      <c r="A680" s="164"/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</row>
    <row r="681" spans="1:36" ht="15.75" customHeight="1" x14ac:dyDescent="0.2">
      <c r="A681" s="164"/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</row>
    <row r="682" spans="1:36" ht="15.75" customHeight="1" x14ac:dyDescent="0.2">
      <c r="A682" s="164"/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</row>
    <row r="683" spans="1:36" ht="15.75" customHeight="1" x14ac:dyDescent="0.2">
      <c r="A683" s="164"/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</row>
    <row r="684" spans="1:36" ht="15.75" customHeight="1" x14ac:dyDescent="0.2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</row>
    <row r="685" spans="1:36" ht="15.75" customHeight="1" x14ac:dyDescent="0.2">
      <c r="A685" s="164"/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</row>
    <row r="686" spans="1:36" ht="15.75" customHeight="1" x14ac:dyDescent="0.2">
      <c r="A686" s="164"/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</row>
    <row r="687" spans="1:36" ht="15.75" customHeight="1" x14ac:dyDescent="0.2">
      <c r="A687" s="164"/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</row>
    <row r="688" spans="1:36" ht="15.75" customHeight="1" x14ac:dyDescent="0.2">
      <c r="A688" s="164"/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</row>
    <row r="689" spans="1:36" ht="15.75" customHeight="1" x14ac:dyDescent="0.2">
      <c r="A689" s="164"/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</row>
    <row r="690" spans="1:36" ht="15.75" customHeight="1" x14ac:dyDescent="0.2">
      <c r="A690" s="164"/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</row>
    <row r="691" spans="1:36" ht="15.75" customHeight="1" x14ac:dyDescent="0.2">
      <c r="A691" s="164"/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</row>
    <row r="692" spans="1:36" ht="15.75" customHeight="1" x14ac:dyDescent="0.2">
      <c r="A692" s="164"/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</row>
    <row r="693" spans="1:36" ht="15.75" customHeight="1" x14ac:dyDescent="0.2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</row>
    <row r="694" spans="1:36" ht="15.75" customHeight="1" x14ac:dyDescent="0.2">
      <c r="A694" s="164"/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</row>
    <row r="695" spans="1:36" ht="15.75" customHeight="1" x14ac:dyDescent="0.2">
      <c r="A695" s="164"/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</row>
    <row r="696" spans="1:36" ht="15.75" customHeight="1" x14ac:dyDescent="0.2">
      <c r="A696" s="164"/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</row>
    <row r="697" spans="1:36" ht="15.75" customHeight="1" x14ac:dyDescent="0.2">
      <c r="A697" s="164"/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</row>
    <row r="698" spans="1:36" ht="15.75" customHeight="1" x14ac:dyDescent="0.2">
      <c r="A698" s="164"/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</row>
    <row r="699" spans="1:36" ht="15.75" customHeight="1" x14ac:dyDescent="0.2">
      <c r="A699" s="164"/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</row>
    <row r="700" spans="1:36" ht="15.75" customHeight="1" x14ac:dyDescent="0.2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</row>
    <row r="701" spans="1:36" ht="15.75" customHeight="1" x14ac:dyDescent="0.2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</row>
    <row r="702" spans="1:36" ht="15.75" customHeight="1" x14ac:dyDescent="0.2">
      <c r="A702" s="164"/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</row>
    <row r="703" spans="1:36" ht="15.75" customHeight="1" x14ac:dyDescent="0.2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</row>
    <row r="704" spans="1:36" ht="15.75" customHeight="1" x14ac:dyDescent="0.2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</row>
    <row r="705" spans="1:36" ht="15.75" customHeight="1" x14ac:dyDescent="0.2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</row>
    <row r="706" spans="1:36" ht="15.75" customHeight="1" x14ac:dyDescent="0.2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</row>
    <row r="707" spans="1:36" ht="15.75" customHeight="1" x14ac:dyDescent="0.2">
      <c r="A707" s="164"/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</row>
    <row r="708" spans="1:36" ht="15.75" customHeight="1" x14ac:dyDescent="0.2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</row>
    <row r="709" spans="1:36" ht="15.75" customHeight="1" x14ac:dyDescent="0.2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</row>
    <row r="710" spans="1:36" ht="15.75" customHeight="1" x14ac:dyDescent="0.2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</row>
    <row r="711" spans="1:36" ht="15.75" customHeight="1" x14ac:dyDescent="0.2">
      <c r="A711" s="164"/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</row>
    <row r="712" spans="1:36" ht="15.75" customHeight="1" x14ac:dyDescent="0.2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</row>
    <row r="713" spans="1:36" ht="15.75" customHeight="1" x14ac:dyDescent="0.2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</row>
    <row r="714" spans="1:36" ht="15.75" customHeight="1" x14ac:dyDescent="0.2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</row>
    <row r="715" spans="1:36" ht="15.75" customHeight="1" x14ac:dyDescent="0.2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</row>
    <row r="716" spans="1:36" ht="15.75" customHeight="1" x14ac:dyDescent="0.2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</row>
    <row r="717" spans="1:36" ht="15.75" customHeight="1" x14ac:dyDescent="0.2">
      <c r="A717" s="164"/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</row>
    <row r="718" spans="1:36" ht="15.75" customHeight="1" x14ac:dyDescent="0.2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</row>
    <row r="719" spans="1:36" ht="15.75" customHeight="1" x14ac:dyDescent="0.2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</row>
    <row r="720" spans="1:36" ht="15.75" customHeight="1" x14ac:dyDescent="0.2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</row>
    <row r="721" spans="1:36" ht="15.75" customHeight="1" x14ac:dyDescent="0.2">
      <c r="A721" s="164"/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</row>
    <row r="722" spans="1:36" ht="15.75" customHeight="1" x14ac:dyDescent="0.2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</row>
    <row r="723" spans="1:36" ht="15.75" customHeight="1" x14ac:dyDescent="0.2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</row>
    <row r="724" spans="1:36" ht="15.75" customHeight="1" x14ac:dyDescent="0.2">
      <c r="A724" s="164"/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</row>
    <row r="725" spans="1:36" ht="15.75" customHeight="1" x14ac:dyDescent="0.2">
      <c r="A725" s="164"/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</row>
    <row r="726" spans="1:36" ht="15.75" customHeight="1" x14ac:dyDescent="0.2">
      <c r="A726" s="164"/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</row>
    <row r="727" spans="1:36" ht="15.75" customHeight="1" x14ac:dyDescent="0.2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</row>
    <row r="728" spans="1:36" ht="15.75" customHeight="1" x14ac:dyDescent="0.2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</row>
    <row r="729" spans="1:36" ht="15.75" customHeight="1" x14ac:dyDescent="0.2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</row>
    <row r="730" spans="1:36" ht="15.75" customHeight="1" x14ac:dyDescent="0.2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</row>
    <row r="731" spans="1:36" ht="15.75" customHeight="1" x14ac:dyDescent="0.2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</row>
    <row r="732" spans="1:36" ht="15.75" customHeight="1" x14ac:dyDescent="0.2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</row>
    <row r="733" spans="1:36" ht="15.75" customHeight="1" x14ac:dyDescent="0.2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</row>
    <row r="734" spans="1:36" ht="15.75" customHeight="1" x14ac:dyDescent="0.2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</row>
    <row r="735" spans="1:36" ht="15.75" customHeight="1" x14ac:dyDescent="0.2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</row>
    <row r="736" spans="1:36" ht="15.75" customHeight="1" x14ac:dyDescent="0.2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</row>
    <row r="737" spans="1:36" ht="15.75" customHeight="1" x14ac:dyDescent="0.2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</row>
    <row r="738" spans="1:36" ht="15.75" customHeight="1" x14ac:dyDescent="0.2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</row>
    <row r="739" spans="1:36" ht="15.75" customHeight="1" x14ac:dyDescent="0.2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</row>
    <row r="740" spans="1:36" ht="15.75" customHeight="1" x14ac:dyDescent="0.2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</row>
    <row r="741" spans="1:36" ht="15.75" customHeight="1" x14ac:dyDescent="0.2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</row>
    <row r="742" spans="1:36" ht="15.75" customHeight="1" x14ac:dyDescent="0.2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</row>
    <row r="743" spans="1:36" ht="15.75" customHeight="1" x14ac:dyDescent="0.2">
      <c r="A743" s="164"/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</row>
    <row r="744" spans="1:36" ht="15.75" customHeight="1" x14ac:dyDescent="0.2">
      <c r="A744" s="164"/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</row>
    <row r="745" spans="1:36" ht="15.75" customHeight="1" x14ac:dyDescent="0.2">
      <c r="A745" s="164"/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</row>
    <row r="746" spans="1:36" ht="15.75" customHeight="1" x14ac:dyDescent="0.2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</row>
    <row r="747" spans="1:36" ht="15.75" customHeight="1" x14ac:dyDescent="0.2">
      <c r="A747" s="164"/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</row>
    <row r="748" spans="1:36" ht="15.75" customHeight="1" x14ac:dyDescent="0.2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</row>
    <row r="749" spans="1:36" ht="15.75" customHeight="1" x14ac:dyDescent="0.2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4"/>
    </row>
    <row r="750" spans="1:36" ht="15.75" customHeight="1" x14ac:dyDescent="0.2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4"/>
    </row>
    <row r="751" spans="1:36" ht="15.75" customHeight="1" x14ac:dyDescent="0.2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4"/>
    </row>
    <row r="752" spans="1:36" ht="15.75" customHeight="1" x14ac:dyDescent="0.2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4"/>
    </row>
    <row r="753" spans="1:36" ht="15.75" customHeight="1" x14ac:dyDescent="0.2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4"/>
    </row>
    <row r="754" spans="1:36" ht="15.75" customHeight="1" x14ac:dyDescent="0.2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4"/>
    </row>
    <row r="755" spans="1:36" ht="15.75" customHeight="1" x14ac:dyDescent="0.2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4"/>
    </row>
    <row r="756" spans="1:36" ht="15.75" customHeight="1" x14ac:dyDescent="0.2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4"/>
    </row>
    <row r="757" spans="1:36" ht="15.75" customHeight="1" x14ac:dyDescent="0.2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4"/>
    </row>
    <row r="758" spans="1:36" ht="15.75" customHeight="1" x14ac:dyDescent="0.2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4"/>
    </row>
    <row r="759" spans="1:36" ht="15.75" customHeight="1" x14ac:dyDescent="0.2">
      <c r="A759" s="164"/>
      <c r="B759" s="164"/>
      <c r="C759" s="164"/>
      <c r="D759" s="164"/>
      <c r="E759" s="164"/>
      <c r="F759" s="164"/>
      <c r="G759" s="164"/>
      <c r="H759" s="164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4"/>
    </row>
    <row r="760" spans="1:36" ht="15.75" customHeight="1" x14ac:dyDescent="0.2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4"/>
    </row>
    <row r="761" spans="1:36" ht="15.75" customHeight="1" x14ac:dyDescent="0.2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  <c r="AA761" s="164"/>
      <c r="AB761" s="164"/>
      <c r="AC761" s="164"/>
      <c r="AD761" s="164"/>
      <c r="AE761" s="164"/>
      <c r="AF761" s="164"/>
      <c r="AG761" s="164"/>
      <c r="AH761" s="164"/>
      <c r="AI761" s="164"/>
      <c r="AJ761" s="164"/>
    </row>
    <row r="762" spans="1:36" ht="15.75" customHeight="1" x14ac:dyDescent="0.2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4"/>
    </row>
    <row r="763" spans="1:36" ht="15.75" customHeight="1" x14ac:dyDescent="0.2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4"/>
    </row>
    <row r="764" spans="1:36" ht="15.75" customHeight="1" x14ac:dyDescent="0.2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4"/>
    </row>
    <row r="765" spans="1:36" ht="15.75" customHeight="1" x14ac:dyDescent="0.2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4"/>
    </row>
    <row r="766" spans="1:36" ht="15.75" customHeight="1" x14ac:dyDescent="0.2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  <c r="AB766" s="164"/>
      <c r="AC766" s="164"/>
      <c r="AD766" s="164"/>
      <c r="AE766" s="164"/>
      <c r="AF766" s="164"/>
      <c r="AG766" s="164"/>
      <c r="AH766" s="164"/>
      <c r="AI766" s="164"/>
      <c r="AJ766" s="164"/>
    </row>
    <row r="767" spans="1:36" ht="15.75" customHeight="1" x14ac:dyDescent="0.2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  <c r="AB767" s="164"/>
      <c r="AC767" s="164"/>
      <c r="AD767" s="164"/>
      <c r="AE767" s="164"/>
      <c r="AF767" s="164"/>
      <c r="AG767" s="164"/>
      <c r="AH767" s="164"/>
      <c r="AI767" s="164"/>
      <c r="AJ767" s="164"/>
    </row>
    <row r="768" spans="1:36" ht="15.75" customHeight="1" x14ac:dyDescent="0.2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4"/>
      <c r="AG768" s="164"/>
      <c r="AH768" s="164"/>
      <c r="AI768" s="164"/>
      <c r="AJ768" s="164"/>
    </row>
    <row r="769" spans="1:36" ht="15.75" customHeight="1" x14ac:dyDescent="0.2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4"/>
      <c r="AG769" s="164"/>
      <c r="AH769" s="164"/>
      <c r="AI769" s="164"/>
      <c r="AJ769" s="164"/>
    </row>
    <row r="770" spans="1:36" ht="15.75" customHeight="1" x14ac:dyDescent="0.2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  <c r="AB770" s="164"/>
      <c r="AC770" s="164"/>
      <c r="AD770" s="164"/>
      <c r="AE770" s="164"/>
      <c r="AF770" s="164"/>
      <c r="AG770" s="164"/>
      <c r="AH770" s="164"/>
      <c r="AI770" s="164"/>
      <c r="AJ770" s="164"/>
    </row>
    <row r="771" spans="1:36" ht="15.75" customHeight="1" x14ac:dyDescent="0.2">
      <c r="A771" s="164"/>
      <c r="B771" s="164"/>
      <c r="C771" s="164"/>
      <c r="D771" s="164"/>
      <c r="E771" s="164"/>
      <c r="F771" s="164"/>
      <c r="G771" s="164"/>
      <c r="H771" s="164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  <c r="AB771" s="164"/>
      <c r="AC771" s="164"/>
      <c r="AD771" s="164"/>
      <c r="AE771" s="164"/>
      <c r="AF771" s="164"/>
      <c r="AG771" s="164"/>
      <c r="AH771" s="164"/>
      <c r="AI771" s="164"/>
      <c r="AJ771" s="164"/>
    </row>
    <row r="772" spans="1:36" ht="15.75" customHeight="1" x14ac:dyDescent="0.2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  <c r="AB772" s="164"/>
      <c r="AC772" s="164"/>
      <c r="AD772" s="164"/>
      <c r="AE772" s="164"/>
      <c r="AF772" s="164"/>
      <c r="AG772" s="164"/>
      <c r="AH772" s="164"/>
      <c r="AI772" s="164"/>
      <c r="AJ772" s="164"/>
    </row>
    <row r="773" spans="1:36" ht="15.75" customHeight="1" x14ac:dyDescent="0.2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  <c r="AB773" s="164"/>
      <c r="AC773" s="164"/>
      <c r="AD773" s="164"/>
      <c r="AE773" s="164"/>
      <c r="AF773" s="164"/>
      <c r="AG773" s="164"/>
      <c r="AH773" s="164"/>
      <c r="AI773" s="164"/>
      <c r="AJ773" s="164"/>
    </row>
    <row r="774" spans="1:36" ht="15.75" customHeight="1" x14ac:dyDescent="0.2">
      <c r="A774" s="164"/>
      <c r="B774" s="164"/>
      <c r="C774" s="164"/>
      <c r="D774" s="164"/>
      <c r="E774" s="164"/>
      <c r="F774" s="164"/>
      <c r="G774" s="164"/>
      <c r="H774" s="164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  <c r="AB774" s="164"/>
      <c r="AC774" s="164"/>
      <c r="AD774" s="164"/>
      <c r="AE774" s="164"/>
      <c r="AF774" s="164"/>
      <c r="AG774" s="164"/>
      <c r="AH774" s="164"/>
      <c r="AI774" s="164"/>
      <c r="AJ774" s="164"/>
    </row>
    <row r="775" spans="1:36" ht="15.75" customHeight="1" x14ac:dyDescent="0.2">
      <c r="A775" s="164"/>
      <c r="B775" s="164"/>
      <c r="C775" s="164"/>
      <c r="D775" s="164"/>
      <c r="E775" s="164"/>
      <c r="F775" s="164"/>
      <c r="G775" s="164"/>
      <c r="H775" s="164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  <c r="AB775" s="164"/>
      <c r="AC775" s="164"/>
      <c r="AD775" s="164"/>
      <c r="AE775" s="164"/>
      <c r="AF775" s="164"/>
      <c r="AG775" s="164"/>
      <c r="AH775" s="164"/>
      <c r="AI775" s="164"/>
      <c r="AJ775" s="164"/>
    </row>
    <row r="776" spans="1:36" ht="15.75" customHeight="1" x14ac:dyDescent="0.2">
      <c r="A776" s="164"/>
      <c r="B776" s="164"/>
      <c r="C776" s="164"/>
      <c r="D776" s="164"/>
      <c r="E776" s="164"/>
      <c r="F776" s="164"/>
      <c r="G776" s="164"/>
      <c r="H776" s="164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  <c r="AB776" s="164"/>
      <c r="AC776" s="164"/>
      <c r="AD776" s="164"/>
      <c r="AE776" s="164"/>
      <c r="AF776" s="164"/>
      <c r="AG776" s="164"/>
      <c r="AH776" s="164"/>
      <c r="AI776" s="164"/>
      <c r="AJ776" s="164"/>
    </row>
    <row r="777" spans="1:36" ht="15.75" customHeight="1" x14ac:dyDescent="0.2">
      <c r="A777" s="164"/>
      <c r="B777" s="164"/>
      <c r="C777" s="164"/>
      <c r="D777" s="164"/>
      <c r="E777" s="164"/>
      <c r="F777" s="164"/>
      <c r="G777" s="164"/>
      <c r="H777" s="164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  <c r="AB777" s="164"/>
      <c r="AC777" s="164"/>
      <c r="AD777" s="164"/>
      <c r="AE777" s="164"/>
      <c r="AF777" s="164"/>
      <c r="AG777" s="164"/>
      <c r="AH777" s="164"/>
      <c r="AI777" s="164"/>
      <c r="AJ777" s="164"/>
    </row>
    <row r="778" spans="1:36" ht="15.75" customHeight="1" x14ac:dyDescent="0.2">
      <c r="A778" s="164"/>
      <c r="B778" s="164"/>
      <c r="C778" s="164"/>
      <c r="D778" s="164"/>
      <c r="E778" s="164"/>
      <c r="F778" s="164"/>
      <c r="G778" s="164"/>
      <c r="H778" s="164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  <c r="AB778" s="164"/>
      <c r="AC778" s="164"/>
      <c r="AD778" s="164"/>
      <c r="AE778" s="164"/>
      <c r="AF778" s="164"/>
      <c r="AG778" s="164"/>
      <c r="AH778" s="164"/>
      <c r="AI778" s="164"/>
      <c r="AJ778" s="164"/>
    </row>
    <row r="779" spans="1:36" ht="15.75" customHeight="1" x14ac:dyDescent="0.2">
      <c r="A779" s="164"/>
      <c r="B779" s="164"/>
      <c r="C779" s="164"/>
      <c r="D779" s="164"/>
      <c r="E779" s="164"/>
      <c r="F779" s="164"/>
      <c r="G779" s="164"/>
      <c r="H779" s="164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  <c r="AB779" s="164"/>
      <c r="AC779" s="164"/>
      <c r="AD779" s="164"/>
      <c r="AE779" s="164"/>
      <c r="AF779" s="164"/>
      <c r="AG779" s="164"/>
      <c r="AH779" s="164"/>
      <c r="AI779" s="164"/>
      <c r="AJ779" s="164"/>
    </row>
    <row r="780" spans="1:36" ht="15.75" customHeight="1" x14ac:dyDescent="0.2">
      <c r="A780" s="164"/>
      <c r="B780" s="164"/>
      <c r="C780" s="164"/>
      <c r="D780" s="164"/>
      <c r="E780" s="164"/>
      <c r="F780" s="164"/>
      <c r="G780" s="164"/>
      <c r="H780" s="164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  <c r="AB780" s="164"/>
      <c r="AC780" s="164"/>
      <c r="AD780" s="164"/>
      <c r="AE780" s="164"/>
      <c r="AF780" s="164"/>
      <c r="AG780" s="164"/>
      <c r="AH780" s="164"/>
      <c r="AI780" s="164"/>
      <c r="AJ780" s="164"/>
    </row>
    <row r="781" spans="1:36" ht="15.75" customHeight="1" x14ac:dyDescent="0.2">
      <c r="A781" s="164"/>
      <c r="B781" s="164"/>
      <c r="C781" s="164"/>
      <c r="D781" s="164"/>
      <c r="E781" s="164"/>
      <c r="F781" s="164"/>
      <c r="G781" s="164"/>
      <c r="H781" s="164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</row>
    <row r="782" spans="1:36" ht="15.75" customHeight="1" x14ac:dyDescent="0.2">
      <c r="A782" s="164"/>
      <c r="B782" s="164"/>
      <c r="C782" s="164"/>
      <c r="D782" s="164"/>
      <c r="E782" s="164"/>
      <c r="F782" s="164"/>
      <c r="G782" s="164"/>
      <c r="H782" s="164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</row>
    <row r="783" spans="1:36" ht="15.75" customHeight="1" x14ac:dyDescent="0.2">
      <c r="A783" s="164"/>
      <c r="B783" s="164"/>
      <c r="C783" s="164"/>
      <c r="D783" s="164"/>
      <c r="E783" s="164"/>
      <c r="F783" s="164"/>
      <c r="G783" s="164"/>
      <c r="H783" s="164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</row>
    <row r="784" spans="1:36" ht="15.75" customHeight="1" x14ac:dyDescent="0.2">
      <c r="A784" s="164"/>
      <c r="B784" s="164"/>
      <c r="C784" s="164"/>
      <c r="D784" s="164"/>
      <c r="E784" s="164"/>
      <c r="F784" s="164"/>
      <c r="G784" s="164"/>
      <c r="H784" s="164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</row>
    <row r="785" spans="1:36" ht="15.75" customHeight="1" x14ac:dyDescent="0.2">
      <c r="A785" s="164"/>
      <c r="B785" s="164"/>
      <c r="C785" s="164"/>
      <c r="D785" s="164"/>
      <c r="E785" s="164"/>
      <c r="F785" s="164"/>
      <c r="G785" s="164"/>
      <c r="H785" s="164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</row>
    <row r="786" spans="1:36" ht="15.75" customHeight="1" x14ac:dyDescent="0.2">
      <c r="A786" s="164"/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</row>
    <row r="787" spans="1:36" ht="15.75" customHeight="1" x14ac:dyDescent="0.2">
      <c r="A787" s="164"/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</row>
    <row r="788" spans="1:36" ht="15.75" customHeight="1" x14ac:dyDescent="0.2">
      <c r="A788" s="164"/>
      <c r="B788" s="164"/>
      <c r="C788" s="164"/>
      <c r="D788" s="164"/>
      <c r="E788" s="164"/>
      <c r="F788" s="164"/>
      <c r="G788" s="164"/>
      <c r="H788" s="164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</row>
    <row r="789" spans="1:36" ht="15.75" customHeight="1" x14ac:dyDescent="0.2">
      <c r="A789" s="164"/>
      <c r="B789" s="164"/>
      <c r="C789" s="164"/>
      <c r="D789" s="164"/>
      <c r="E789" s="164"/>
      <c r="F789" s="164"/>
      <c r="G789" s="164"/>
      <c r="H789" s="164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</row>
    <row r="790" spans="1:36" ht="15.75" customHeight="1" x14ac:dyDescent="0.2">
      <c r="A790" s="164"/>
      <c r="B790" s="164"/>
      <c r="C790" s="164"/>
      <c r="D790" s="164"/>
      <c r="E790" s="164"/>
      <c r="F790" s="164"/>
      <c r="G790" s="164"/>
      <c r="H790" s="164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</row>
    <row r="791" spans="1:36" ht="15.75" customHeight="1" x14ac:dyDescent="0.2">
      <c r="A791" s="164"/>
      <c r="B791" s="164"/>
      <c r="C791" s="164"/>
      <c r="D791" s="164"/>
      <c r="E791" s="164"/>
      <c r="F791" s="164"/>
      <c r="G791" s="164"/>
      <c r="H791" s="164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</row>
    <row r="792" spans="1:36" ht="15.75" customHeight="1" x14ac:dyDescent="0.2">
      <c r="A792" s="164"/>
      <c r="B792" s="164"/>
      <c r="C792" s="164"/>
      <c r="D792" s="164"/>
      <c r="E792" s="164"/>
      <c r="F792" s="164"/>
      <c r="G792" s="164"/>
      <c r="H792" s="164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  <c r="AB792" s="164"/>
      <c r="AC792" s="164"/>
      <c r="AD792" s="164"/>
      <c r="AE792" s="164"/>
      <c r="AF792" s="164"/>
      <c r="AG792" s="164"/>
      <c r="AH792" s="164"/>
      <c r="AI792" s="164"/>
      <c r="AJ792" s="164"/>
    </row>
    <row r="793" spans="1:36" ht="15.75" customHeight="1" x14ac:dyDescent="0.2">
      <c r="A793" s="164"/>
      <c r="B793" s="164"/>
      <c r="C793" s="164"/>
      <c r="D793" s="164"/>
      <c r="E793" s="164"/>
      <c r="F793" s="164"/>
      <c r="G793" s="164"/>
      <c r="H793" s="164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  <c r="AB793" s="164"/>
      <c r="AC793" s="164"/>
      <c r="AD793" s="164"/>
      <c r="AE793" s="164"/>
      <c r="AF793" s="164"/>
      <c r="AG793" s="164"/>
      <c r="AH793" s="164"/>
      <c r="AI793" s="164"/>
      <c r="AJ793" s="164"/>
    </row>
    <row r="794" spans="1:36" ht="15.75" customHeight="1" x14ac:dyDescent="0.2">
      <c r="A794" s="164"/>
      <c r="B794" s="164"/>
      <c r="C794" s="164"/>
      <c r="D794" s="164"/>
      <c r="E794" s="164"/>
      <c r="F794" s="164"/>
      <c r="G794" s="164"/>
      <c r="H794" s="164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  <c r="AB794" s="164"/>
      <c r="AC794" s="164"/>
      <c r="AD794" s="164"/>
      <c r="AE794" s="164"/>
      <c r="AF794" s="164"/>
      <c r="AG794" s="164"/>
      <c r="AH794" s="164"/>
      <c r="AI794" s="164"/>
      <c r="AJ794" s="164"/>
    </row>
    <row r="795" spans="1:36" ht="15.75" customHeight="1" x14ac:dyDescent="0.2">
      <c r="A795" s="164"/>
      <c r="B795" s="164"/>
      <c r="C795" s="164"/>
      <c r="D795" s="164"/>
      <c r="E795" s="164"/>
      <c r="F795" s="164"/>
      <c r="G795" s="164"/>
      <c r="H795" s="164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  <c r="AB795" s="164"/>
      <c r="AC795" s="164"/>
      <c r="AD795" s="164"/>
      <c r="AE795" s="164"/>
      <c r="AF795" s="164"/>
      <c r="AG795" s="164"/>
      <c r="AH795" s="164"/>
      <c r="AI795" s="164"/>
      <c r="AJ795" s="164"/>
    </row>
    <row r="796" spans="1:36" ht="15.75" customHeight="1" x14ac:dyDescent="0.2">
      <c r="A796" s="164"/>
      <c r="B796" s="164"/>
      <c r="C796" s="164"/>
      <c r="D796" s="164"/>
      <c r="E796" s="164"/>
      <c r="F796" s="164"/>
      <c r="G796" s="164"/>
      <c r="H796" s="164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  <c r="AB796" s="164"/>
      <c r="AC796" s="164"/>
      <c r="AD796" s="164"/>
      <c r="AE796" s="164"/>
      <c r="AF796" s="164"/>
      <c r="AG796" s="164"/>
      <c r="AH796" s="164"/>
      <c r="AI796" s="164"/>
      <c r="AJ796" s="164"/>
    </row>
    <row r="797" spans="1:36" ht="15.75" customHeight="1" x14ac:dyDescent="0.2">
      <c r="A797" s="164"/>
      <c r="B797" s="164"/>
      <c r="C797" s="164"/>
      <c r="D797" s="164"/>
      <c r="E797" s="164"/>
      <c r="F797" s="164"/>
      <c r="G797" s="164"/>
      <c r="H797" s="164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  <c r="AB797" s="164"/>
      <c r="AC797" s="164"/>
      <c r="AD797" s="164"/>
      <c r="AE797" s="164"/>
      <c r="AF797" s="164"/>
      <c r="AG797" s="164"/>
      <c r="AH797" s="164"/>
      <c r="AI797" s="164"/>
      <c r="AJ797" s="164"/>
    </row>
    <row r="798" spans="1:36" ht="15.75" customHeight="1" x14ac:dyDescent="0.2">
      <c r="A798" s="164"/>
      <c r="B798" s="164"/>
      <c r="C798" s="164"/>
      <c r="D798" s="164"/>
      <c r="E798" s="164"/>
      <c r="F798" s="164"/>
      <c r="G798" s="164"/>
      <c r="H798" s="164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</row>
    <row r="799" spans="1:36" ht="15.75" customHeight="1" x14ac:dyDescent="0.2">
      <c r="A799" s="164"/>
      <c r="B799" s="164"/>
      <c r="C799" s="164"/>
      <c r="D799" s="164"/>
      <c r="E799" s="164"/>
      <c r="F799" s="164"/>
      <c r="G799" s="164"/>
      <c r="H799" s="164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</row>
    <row r="800" spans="1:36" ht="15.75" customHeight="1" x14ac:dyDescent="0.2">
      <c r="A800" s="164"/>
      <c r="B800" s="164"/>
      <c r="C800" s="164"/>
      <c r="D800" s="164"/>
      <c r="E800" s="164"/>
      <c r="F800" s="164"/>
      <c r="G800" s="164"/>
      <c r="H800" s="164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</row>
    <row r="801" spans="1:36" ht="15.75" customHeight="1" x14ac:dyDescent="0.2">
      <c r="A801" s="164"/>
      <c r="B801" s="164"/>
      <c r="C801" s="164"/>
      <c r="D801" s="164"/>
      <c r="E801" s="164"/>
      <c r="F801" s="164"/>
      <c r="G801" s="164"/>
      <c r="H801" s="164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</row>
    <row r="802" spans="1:36" ht="15.75" customHeight="1" x14ac:dyDescent="0.2">
      <c r="A802" s="164"/>
      <c r="B802" s="164"/>
      <c r="C802" s="164"/>
      <c r="D802" s="164"/>
      <c r="E802" s="164"/>
      <c r="F802" s="164"/>
      <c r="G802" s="164"/>
      <c r="H802" s="164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</row>
    <row r="803" spans="1:36" ht="15.75" customHeight="1" x14ac:dyDescent="0.2">
      <c r="A803" s="164"/>
      <c r="B803" s="164"/>
      <c r="C803" s="164"/>
      <c r="D803" s="164"/>
      <c r="E803" s="164"/>
      <c r="F803" s="164"/>
      <c r="G803" s="164"/>
      <c r="H803" s="164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</row>
    <row r="804" spans="1:36" ht="15.75" customHeight="1" x14ac:dyDescent="0.2">
      <c r="A804" s="164"/>
      <c r="B804" s="164"/>
      <c r="C804" s="164"/>
      <c r="D804" s="164"/>
      <c r="E804" s="164"/>
      <c r="F804" s="164"/>
      <c r="G804" s="164"/>
      <c r="H804" s="164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</row>
    <row r="805" spans="1:36" ht="15.75" customHeight="1" x14ac:dyDescent="0.2">
      <c r="A805" s="164"/>
      <c r="B805" s="164"/>
      <c r="C805" s="164"/>
      <c r="D805" s="164"/>
      <c r="E805" s="164"/>
      <c r="F805" s="164"/>
      <c r="G805" s="164"/>
      <c r="H805" s="164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</row>
    <row r="806" spans="1:36" ht="15.75" customHeight="1" x14ac:dyDescent="0.2">
      <c r="A806" s="164"/>
      <c r="B806" s="164"/>
      <c r="C806" s="164"/>
      <c r="D806" s="164"/>
      <c r="E806" s="164"/>
      <c r="F806" s="164"/>
      <c r="G806" s="164"/>
      <c r="H806" s="164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</row>
    <row r="807" spans="1:36" ht="15.75" customHeight="1" x14ac:dyDescent="0.2">
      <c r="A807" s="164"/>
      <c r="B807" s="164"/>
      <c r="C807" s="164"/>
      <c r="D807" s="164"/>
      <c r="E807" s="164"/>
      <c r="F807" s="164"/>
      <c r="G807" s="164"/>
      <c r="H807" s="164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  <c r="AB807" s="164"/>
      <c r="AC807" s="164"/>
      <c r="AD807" s="164"/>
      <c r="AE807" s="164"/>
      <c r="AF807" s="164"/>
      <c r="AG807" s="164"/>
      <c r="AH807" s="164"/>
      <c r="AI807" s="164"/>
      <c r="AJ807" s="164"/>
    </row>
    <row r="808" spans="1:36" ht="15.75" customHeight="1" x14ac:dyDescent="0.2">
      <c r="A808" s="164"/>
      <c r="B808" s="164"/>
      <c r="C808" s="164"/>
      <c r="D808" s="164"/>
      <c r="E808" s="164"/>
      <c r="F808" s="164"/>
      <c r="G808" s="164"/>
      <c r="H808" s="164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  <c r="AB808" s="164"/>
      <c r="AC808" s="164"/>
      <c r="AD808" s="164"/>
      <c r="AE808" s="164"/>
      <c r="AF808" s="164"/>
      <c r="AG808" s="164"/>
      <c r="AH808" s="164"/>
      <c r="AI808" s="164"/>
      <c r="AJ808" s="164"/>
    </row>
    <row r="809" spans="1:36" ht="15.75" customHeight="1" x14ac:dyDescent="0.2">
      <c r="A809" s="164"/>
      <c r="B809" s="164"/>
      <c r="C809" s="164"/>
      <c r="D809" s="164"/>
      <c r="E809" s="164"/>
      <c r="F809" s="164"/>
      <c r="G809" s="164"/>
      <c r="H809" s="164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  <c r="AB809" s="164"/>
      <c r="AC809" s="164"/>
      <c r="AD809" s="164"/>
      <c r="AE809" s="164"/>
      <c r="AF809" s="164"/>
      <c r="AG809" s="164"/>
      <c r="AH809" s="164"/>
      <c r="AI809" s="164"/>
      <c r="AJ809" s="164"/>
    </row>
    <row r="810" spans="1:36" ht="15.75" customHeight="1" x14ac:dyDescent="0.2">
      <c r="A810" s="164"/>
      <c r="B810" s="164"/>
      <c r="C810" s="164"/>
      <c r="D810" s="164"/>
      <c r="E810" s="164"/>
      <c r="F810" s="164"/>
      <c r="G810" s="164"/>
      <c r="H810" s="164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  <c r="AB810" s="164"/>
      <c r="AC810" s="164"/>
      <c r="AD810" s="164"/>
      <c r="AE810" s="164"/>
      <c r="AF810" s="164"/>
      <c r="AG810" s="164"/>
      <c r="AH810" s="164"/>
      <c r="AI810" s="164"/>
      <c r="AJ810" s="164"/>
    </row>
    <row r="811" spans="1:36" ht="15.75" customHeight="1" x14ac:dyDescent="0.2">
      <c r="A811" s="164"/>
      <c r="B811" s="164"/>
      <c r="C811" s="164"/>
      <c r="D811" s="164"/>
      <c r="E811" s="164"/>
      <c r="F811" s="164"/>
      <c r="G811" s="164"/>
      <c r="H811" s="164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  <c r="AB811" s="164"/>
      <c r="AC811" s="164"/>
      <c r="AD811" s="164"/>
      <c r="AE811" s="164"/>
      <c r="AF811" s="164"/>
      <c r="AG811" s="164"/>
      <c r="AH811" s="164"/>
      <c r="AI811" s="164"/>
      <c r="AJ811" s="164"/>
    </row>
    <row r="812" spans="1:36" ht="15.75" customHeight="1" x14ac:dyDescent="0.2">
      <c r="A812" s="164"/>
      <c r="B812" s="164"/>
      <c r="C812" s="164"/>
      <c r="D812" s="164"/>
      <c r="E812" s="164"/>
      <c r="F812" s="164"/>
      <c r="G812" s="164"/>
      <c r="H812" s="164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  <c r="AB812" s="164"/>
      <c r="AC812" s="164"/>
      <c r="AD812" s="164"/>
      <c r="AE812" s="164"/>
      <c r="AF812" s="164"/>
      <c r="AG812" s="164"/>
      <c r="AH812" s="164"/>
      <c r="AI812" s="164"/>
      <c r="AJ812" s="164"/>
    </row>
    <row r="813" spans="1:36" ht="15.75" customHeight="1" x14ac:dyDescent="0.2">
      <c r="A813" s="164"/>
      <c r="B813" s="164"/>
      <c r="C813" s="164"/>
      <c r="D813" s="164"/>
      <c r="E813" s="164"/>
      <c r="F813" s="164"/>
      <c r="G813" s="164"/>
      <c r="H813" s="164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  <c r="AB813" s="164"/>
      <c r="AC813" s="164"/>
      <c r="AD813" s="164"/>
      <c r="AE813" s="164"/>
      <c r="AF813" s="164"/>
      <c r="AG813" s="164"/>
      <c r="AH813" s="164"/>
      <c r="AI813" s="164"/>
      <c r="AJ813" s="164"/>
    </row>
    <row r="814" spans="1:36" ht="15.75" customHeight="1" x14ac:dyDescent="0.2">
      <c r="A814" s="164"/>
      <c r="B814" s="164"/>
      <c r="C814" s="164"/>
      <c r="D814" s="164"/>
      <c r="E814" s="164"/>
      <c r="F814" s="164"/>
      <c r="G814" s="164"/>
      <c r="H814" s="164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  <c r="AB814" s="164"/>
      <c r="AC814" s="164"/>
      <c r="AD814" s="164"/>
      <c r="AE814" s="164"/>
      <c r="AF814" s="164"/>
      <c r="AG814" s="164"/>
      <c r="AH814" s="164"/>
      <c r="AI814" s="164"/>
      <c r="AJ814" s="164"/>
    </row>
    <row r="815" spans="1:36" ht="15.75" customHeight="1" x14ac:dyDescent="0.2">
      <c r="A815" s="164"/>
      <c r="B815" s="164"/>
      <c r="C815" s="164"/>
      <c r="D815" s="164"/>
      <c r="E815" s="164"/>
      <c r="F815" s="164"/>
      <c r="G815" s="164"/>
      <c r="H815" s="164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  <c r="AB815" s="164"/>
      <c r="AC815" s="164"/>
      <c r="AD815" s="164"/>
      <c r="AE815" s="164"/>
      <c r="AF815" s="164"/>
      <c r="AG815" s="164"/>
      <c r="AH815" s="164"/>
      <c r="AI815" s="164"/>
      <c r="AJ815" s="164"/>
    </row>
    <row r="816" spans="1:36" ht="15.75" customHeight="1" x14ac:dyDescent="0.2">
      <c r="A816" s="164"/>
      <c r="B816" s="164"/>
      <c r="C816" s="164"/>
      <c r="D816" s="164"/>
      <c r="E816" s="164"/>
      <c r="F816" s="164"/>
      <c r="G816" s="164"/>
      <c r="H816" s="164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  <c r="AB816" s="164"/>
      <c r="AC816" s="164"/>
      <c r="AD816" s="164"/>
      <c r="AE816" s="164"/>
      <c r="AF816" s="164"/>
      <c r="AG816" s="164"/>
      <c r="AH816" s="164"/>
      <c r="AI816" s="164"/>
      <c r="AJ816" s="164"/>
    </row>
    <row r="817" spans="1:36" ht="15.75" customHeight="1" x14ac:dyDescent="0.2">
      <c r="A817" s="164"/>
      <c r="B817" s="164"/>
      <c r="C817" s="164"/>
      <c r="D817" s="164"/>
      <c r="E817" s="164"/>
      <c r="F817" s="164"/>
      <c r="G817" s="164"/>
      <c r="H817" s="164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  <c r="AB817" s="164"/>
      <c r="AC817" s="164"/>
      <c r="AD817" s="164"/>
      <c r="AE817" s="164"/>
      <c r="AF817" s="164"/>
      <c r="AG817" s="164"/>
      <c r="AH817" s="164"/>
      <c r="AI817" s="164"/>
      <c r="AJ817" s="164"/>
    </row>
    <row r="818" spans="1:36" ht="15.75" customHeight="1" x14ac:dyDescent="0.2">
      <c r="A818" s="164"/>
      <c r="B818" s="164"/>
      <c r="C818" s="164"/>
      <c r="D818" s="164"/>
      <c r="E818" s="164"/>
      <c r="F818" s="164"/>
      <c r="G818" s="164"/>
      <c r="H818" s="164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  <c r="AB818" s="164"/>
      <c r="AC818" s="164"/>
      <c r="AD818" s="164"/>
      <c r="AE818" s="164"/>
      <c r="AF818" s="164"/>
      <c r="AG818" s="164"/>
      <c r="AH818" s="164"/>
      <c r="AI818" s="164"/>
      <c r="AJ818" s="164"/>
    </row>
    <row r="819" spans="1:36" ht="15.75" customHeight="1" x14ac:dyDescent="0.2">
      <c r="A819" s="164"/>
      <c r="B819" s="164"/>
      <c r="C819" s="164"/>
      <c r="D819" s="164"/>
      <c r="E819" s="164"/>
      <c r="F819" s="164"/>
      <c r="G819" s="164"/>
      <c r="H819" s="164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  <c r="AB819" s="164"/>
      <c r="AC819" s="164"/>
      <c r="AD819" s="164"/>
      <c r="AE819" s="164"/>
      <c r="AF819" s="164"/>
      <c r="AG819" s="164"/>
      <c r="AH819" s="164"/>
      <c r="AI819" s="164"/>
      <c r="AJ819" s="164"/>
    </row>
    <row r="820" spans="1:36" ht="15.75" customHeight="1" x14ac:dyDescent="0.2">
      <c r="A820" s="164"/>
      <c r="B820" s="164"/>
      <c r="C820" s="164"/>
      <c r="D820" s="164"/>
      <c r="E820" s="164"/>
      <c r="F820" s="164"/>
      <c r="G820" s="164"/>
      <c r="H820" s="164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  <c r="AB820" s="164"/>
      <c r="AC820" s="164"/>
      <c r="AD820" s="164"/>
      <c r="AE820" s="164"/>
      <c r="AF820" s="164"/>
      <c r="AG820" s="164"/>
      <c r="AH820" s="164"/>
      <c r="AI820" s="164"/>
      <c r="AJ820" s="164"/>
    </row>
    <row r="821" spans="1:36" ht="15.75" customHeight="1" x14ac:dyDescent="0.2">
      <c r="A821" s="164"/>
      <c r="B821" s="164"/>
      <c r="C821" s="164"/>
      <c r="D821" s="164"/>
      <c r="E821" s="164"/>
      <c r="F821" s="164"/>
      <c r="G821" s="164"/>
      <c r="H821" s="164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  <c r="AB821" s="164"/>
      <c r="AC821" s="164"/>
      <c r="AD821" s="164"/>
      <c r="AE821" s="164"/>
      <c r="AF821" s="164"/>
      <c r="AG821" s="164"/>
      <c r="AH821" s="164"/>
      <c r="AI821" s="164"/>
      <c r="AJ821" s="164"/>
    </row>
    <row r="822" spans="1:36" ht="15.75" customHeight="1" x14ac:dyDescent="0.2">
      <c r="A822" s="164"/>
      <c r="B822" s="164"/>
      <c r="C822" s="164"/>
      <c r="D822" s="164"/>
      <c r="E822" s="164"/>
      <c r="F822" s="164"/>
      <c r="G822" s="164"/>
      <c r="H822" s="164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  <c r="AB822" s="164"/>
      <c r="AC822" s="164"/>
      <c r="AD822" s="164"/>
      <c r="AE822" s="164"/>
      <c r="AF822" s="164"/>
      <c r="AG822" s="164"/>
      <c r="AH822" s="164"/>
      <c r="AI822" s="164"/>
      <c r="AJ822" s="164"/>
    </row>
    <row r="823" spans="1:36" ht="15.75" customHeight="1" x14ac:dyDescent="0.2">
      <c r="A823" s="164"/>
      <c r="B823" s="164"/>
      <c r="C823" s="164"/>
      <c r="D823" s="164"/>
      <c r="E823" s="164"/>
      <c r="F823" s="164"/>
      <c r="G823" s="164"/>
      <c r="H823" s="164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  <c r="AB823" s="164"/>
      <c r="AC823" s="164"/>
      <c r="AD823" s="164"/>
      <c r="AE823" s="164"/>
      <c r="AF823" s="164"/>
      <c r="AG823" s="164"/>
      <c r="AH823" s="164"/>
      <c r="AI823" s="164"/>
      <c r="AJ823" s="164"/>
    </row>
    <row r="824" spans="1:36" ht="15.75" customHeight="1" x14ac:dyDescent="0.2">
      <c r="A824" s="164"/>
      <c r="B824" s="164"/>
      <c r="C824" s="164"/>
      <c r="D824" s="164"/>
      <c r="E824" s="164"/>
      <c r="F824" s="164"/>
      <c r="G824" s="164"/>
      <c r="H824" s="164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  <c r="AB824" s="164"/>
      <c r="AC824" s="164"/>
      <c r="AD824" s="164"/>
      <c r="AE824" s="164"/>
      <c r="AF824" s="164"/>
      <c r="AG824" s="164"/>
      <c r="AH824" s="164"/>
      <c r="AI824" s="164"/>
      <c r="AJ824" s="164"/>
    </row>
    <row r="825" spans="1:36" ht="15.75" customHeight="1" x14ac:dyDescent="0.2">
      <c r="A825" s="164"/>
      <c r="B825" s="164"/>
      <c r="C825" s="164"/>
      <c r="D825" s="164"/>
      <c r="E825" s="164"/>
      <c r="F825" s="164"/>
      <c r="G825" s="164"/>
      <c r="H825" s="164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  <c r="AI825" s="164"/>
      <c r="AJ825" s="164"/>
    </row>
    <row r="826" spans="1:36" ht="15.75" customHeight="1" x14ac:dyDescent="0.2">
      <c r="A826" s="164"/>
      <c r="B826" s="164"/>
      <c r="C826" s="164"/>
      <c r="D826" s="164"/>
      <c r="E826" s="164"/>
      <c r="F826" s="164"/>
      <c r="G826" s="164"/>
      <c r="H826" s="164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  <c r="AB826" s="164"/>
      <c r="AC826" s="164"/>
      <c r="AD826" s="164"/>
      <c r="AE826" s="164"/>
      <c r="AF826" s="164"/>
      <c r="AG826" s="164"/>
      <c r="AH826" s="164"/>
      <c r="AI826" s="164"/>
      <c r="AJ826" s="164"/>
    </row>
    <row r="827" spans="1:36" ht="15.75" customHeight="1" x14ac:dyDescent="0.2">
      <c r="A827" s="164"/>
      <c r="B827" s="164"/>
      <c r="C827" s="164"/>
      <c r="D827" s="164"/>
      <c r="E827" s="164"/>
      <c r="F827" s="164"/>
      <c r="G827" s="164"/>
      <c r="H827" s="164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  <c r="AB827" s="164"/>
      <c r="AC827" s="164"/>
      <c r="AD827" s="164"/>
      <c r="AE827" s="164"/>
      <c r="AF827" s="164"/>
      <c r="AG827" s="164"/>
      <c r="AH827" s="164"/>
      <c r="AI827" s="164"/>
      <c r="AJ827" s="164"/>
    </row>
    <row r="828" spans="1:36" ht="15.75" customHeight="1" x14ac:dyDescent="0.2">
      <c r="A828" s="164"/>
      <c r="B828" s="164"/>
      <c r="C828" s="164"/>
      <c r="D828" s="164"/>
      <c r="E828" s="164"/>
      <c r="F828" s="164"/>
      <c r="G828" s="164"/>
      <c r="H828" s="164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  <c r="AB828" s="164"/>
      <c r="AC828" s="164"/>
      <c r="AD828" s="164"/>
      <c r="AE828" s="164"/>
      <c r="AF828" s="164"/>
      <c r="AG828" s="164"/>
      <c r="AH828" s="164"/>
      <c r="AI828" s="164"/>
      <c r="AJ828" s="164"/>
    </row>
    <row r="829" spans="1:36" ht="15.75" customHeight="1" x14ac:dyDescent="0.2">
      <c r="A829" s="164"/>
      <c r="B829" s="164"/>
      <c r="C829" s="164"/>
      <c r="D829" s="164"/>
      <c r="E829" s="164"/>
      <c r="F829" s="164"/>
      <c r="G829" s="164"/>
      <c r="H829" s="164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  <c r="AB829" s="164"/>
      <c r="AC829" s="164"/>
      <c r="AD829" s="164"/>
      <c r="AE829" s="164"/>
      <c r="AF829" s="164"/>
      <c r="AG829" s="164"/>
      <c r="AH829" s="164"/>
      <c r="AI829" s="164"/>
      <c r="AJ829" s="164"/>
    </row>
    <row r="830" spans="1:36" ht="15.75" customHeight="1" x14ac:dyDescent="0.2">
      <c r="A830" s="164"/>
      <c r="B830" s="164"/>
      <c r="C830" s="164"/>
      <c r="D830" s="164"/>
      <c r="E830" s="164"/>
      <c r="F830" s="164"/>
      <c r="G830" s="164"/>
      <c r="H830" s="164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  <c r="AB830" s="164"/>
      <c r="AC830" s="164"/>
      <c r="AD830" s="164"/>
      <c r="AE830" s="164"/>
      <c r="AF830" s="164"/>
      <c r="AG830" s="164"/>
      <c r="AH830" s="164"/>
      <c r="AI830" s="164"/>
      <c r="AJ830" s="164"/>
    </row>
    <row r="831" spans="1:36" ht="15.75" customHeight="1" x14ac:dyDescent="0.2">
      <c r="A831" s="164"/>
      <c r="B831" s="164"/>
      <c r="C831" s="164"/>
      <c r="D831" s="164"/>
      <c r="E831" s="164"/>
      <c r="F831" s="164"/>
      <c r="G831" s="164"/>
      <c r="H831" s="164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  <c r="AB831" s="164"/>
      <c r="AC831" s="164"/>
      <c r="AD831" s="164"/>
      <c r="AE831" s="164"/>
      <c r="AF831" s="164"/>
      <c r="AG831" s="164"/>
      <c r="AH831" s="164"/>
      <c r="AI831" s="164"/>
      <c r="AJ831" s="164"/>
    </row>
    <row r="832" spans="1:36" ht="15.75" customHeight="1" x14ac:dyDescent="0.2">
      <c r="A832" s="164"/>
      <c r="B832" s="164"/>
      <c r="C832" s="164"/>
      <c r="D832" s="164"/>
      <c r="E832" s="164"/>
      <c r="F832" s="164"/>
      <c r="G832" s="164"/>
      <c r="H832" s="164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  <c r="AB832" s="164"/>
      <c r="AC832" s="164"/>
      <c r="AD832" s="164"/>
      <c r="AE832" s="164"/>
      <c r="AF832" s="164"/>
      <c r="AG832" s="164"/>
      <c r="AH832" s="164"/>
      <c r="AI832" s="164"/>
      <c r="AJ832" s="164"/>
    </row>
    <row r="833" spans="1:36" ht="15.75" customHeight="1" x14ac:dyDescent="0.2">
      <c r="A833" s="164"/>
      <c r="B833" s="164"/>
      <c r="C833" s="164"/>
      <c r="D833" s="164"/>
      <c r="E833" s="164"/>
      <c r="F833" s="164"/>
      <c r="G833" s="164"/>
      <c r="H833" s="164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  <c r="AB833" s="164"/>
      <c r="AC833" s="164"/>
      <c r="AD833" s="164"/>
      <c r="AE833" s="164"/>
      <c r="AF833" s="164"/>
      <c r="AG833" s="164"/>
      <c r="AH833" s="164"/>
      <c r="AI833" s="164"/>
      <c r="AJ833" s="164"/>
    </row>
    <row r="834" spans="1:36" ht="15.75" customHeight="1" x14ac:dyDescent="0.2">
      <c r="A834" s="164"/>
      <c r="B834" s="164"/>
      <c r="C834" s="164"/>
      <c r="D834" s="164"/>
      <c r="E834" s="164"/>
      <c r="F834" s="164"/>
      <c r="G834" s="164"/>
      <c r="H834" s="164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  <c r="AB834" s="164"/>
      <c r="AC834" s="164"/>
      <c r="AD834" s="164"/>
      <c r="AE834" s="164"/>
      <c r="AF834" s="164"/>
      <c r="AG834" s="164"/>
      <c r="AH834" s="164"/>
      <c r="AI834" s="164"/>
      <c r="AJ834" s="164"/>
    </row>
    <row r="835" spans="1:36" ht="15.75" customHeight="1" x14ac:dyDescent="0.2">
      <c r="A835" s="164"/>
      <c r="B835" s="164"/>
      <c r="C835" s="164"/>
      <c r="D835" s="164"/>
      <c r="E835" s="164"/>
      <c r="F835" s="164"/>
      <c r="G835" s="164"/>
      <c r="H835" s="164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  <c r="AB835" s="164"/>
      <c r="AC835" s="164"/>
      <c r="AD835" s="164"/>
      <c r="AE835" s="164"/>
      <c r="AF835" s="164"/>
      <c r="AG835" s="164"/>
      <c r="AH835" s="164"/>
      <c r="AI835" s="164"/>
      <c r="AJ835" s="164"/>
    </row>
    <row r="836" spans="1:36" ht="15.75" customHeight="1" x14ac:dyDescent="0.2">
      <c r="A836" s="164"/>
      <c r="B836" s="164"/>
      <c r="C836" s="164"/>
      <c r="D836" s="164"/>
      <c r="E836" s="164"/>
      <c r="F836" s="164"/>
      <c r="G836" s="164"/>
      <c r="H836" s="164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  <c r="AB836" s="164"/>
      <c r="AC836" s="164"/>
      <c r="AD836" s="164"/>
      <c r="AE836" s="164"/>
      <c r="AF836" s="164"/>
      <c r="AG836" s="164"/>
      <c r="AH836" s="164"/>
      <c r="AI836" s="164"/>
      <c r="AJ836" s="164"/>
    </row>
    <row r="837" spans="1:36" ht="15.75" customHeight="1" x14ac:dyDescent="0.2">
      <c r="A837" s="164"/>
      <c r="B837" s="164"/>
      <c r="C837" s="164"/>
      <c r="D837" s="164"/>
      <c r="E837" s="164"/>
      <c r="F837" s="164"/>
      <c r="G837" s="164"/>
      <c r="H837" s="164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  <c r="AB837" s="164"/>
      <c r="AC837" s="164"/>
      <c r="AD837" s="164"/>
      <c r="AE837" s="164"/>
      <c r="AF837" s="164"/>
      <c r="AG837" s="164"/>
      <c r="AH837" s="164"/>
      <c r="AI837" s="164"/>
      <c r="AJ837" s="164"/>
    </row>
    <row r="838" spans="1:36" ht="15.75" customHeight="1" x14ac:dyDescent="0.2">
      <c r="A838" s="164"/>
      <c r="B838" s="164"/>
      <c r="C838" s="164"/>
      <c r="D838" s="164"/>
      <c r="E838" s="164"/>
      <c r="F838" s="164"/>
      <c r="G838" s="164"/>
      <c r="H838" s="164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  <c r="AB838" s="164"/>
      <c r="AC838" s="164"/>
      <c r="AD838" s="164"/>
      <c r="AE838" s="164"/>
      <c r="AF838" s="164"/>
      <c r="AG838" s="164"/>
      <c r="AH838" s="164"/>
      <c r="AI838" s="164"/>
      <c r="AJ838" s="164"/>
    </row>
    <row r="839" spans="1:36" ht="15.75" customHeight="1" x14ac:dyDescent="0.2">
      <c r="A839" s="164"/>
      <c r="B839" s="164"/>
      <c r="C839" s="164"/>
      <c r="D839" s="164"/>
      <c r="E839" s="164"/>
      <c r="F839" s="164"/>
      <c r="G839" s="164"/>
      <c r="H839" s="164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  <c r="AB839" s="164"/>
      <c r="AC839" s="164"/>
      <c r="AD839" s="164"/>
      <c r="AE839" s="164"/>
      <c r="AF839" s="164"/>
      <c r="AG839" s="164"/>
      <c r="AH839" s="164"/>
      <c r="AI839" s="164"/>
      <c r="AJ839" s="164"/>
    </row>
    <row r="840" spans="1:36" ht="15.75" customHeight="1" x14ac:dyDescent="0.2">
      <c r="A840" s="164"/>
      <c r="B840" s="164"/>
      <c r="C840" s="164"/>
      <c r="D840" s="164"/>
      <c r="E840" s="164"/>
      <c r="F840" s="164"/>
      <c r="G840" s="164"/>
      <c r="H840" s="164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</row>
    <row r="841" spans="1:36" ht="15.75" customHeight="1" x14ac:dyDescent="0.2">
      <c r="A841" s="164"/>
      <c r="B841" s="164"/>
      <c r="C841" s="164"/>
      <c r="D841" s="164"/>
      <c r="E841" s="164"/>
      <c r="F841" s="164"/>
      <c r="G841" s="164"/>
      <c r="H841" s="164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  <c r="AB841" s="164"/>
      <c r="AC841" s="164"/>
      <c r="AD841" s="164"/>
      <c r="AE841" s="164"/>
      <c r="AF841" s="164"/>
      <c r="AG841" s="164"/>
      <c r="AH841" s="164"/>
      <c r="AI841" s="164"/>
      <c r="AJ841" s="164"/>
    </row>
    <row r="842" spans="1:36" ht="15.75" customHeight="1" x14ac:dyDescent="0.2">
      <c r="A842" s="164"/>
      <c r="B842" s="164"/>
      <c r="C842" s="164"/>
      <c r="D842" s="164"/>
      <c r="E842" s="164"/>
      <c r="F842" s="164"/>
      <c r="G842" s="164"/>
      <c r="H842" s="164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  <c r="AB842" s="164"/>
      <c r="AC842" s="164"/>
      <c r="AD842" s="164"/>
      <c r="AE842" s="164"/>
      <c r="AF842" s="164"/>
      <c r="AG842" s="164"/>
      <c r="AH842" s="164"/>
      <c r="AI842" s="164"/>
      <c r="AJ842" s="164"/>
    </row>
    <row r="843" spans="1:36" ht="15.75" customHeight="1" x14ac:dyDescent="0.2">
      <c r="A843" s="164"/>
      <c r="B843" s="164"/>
      <c r="C843" s="164"/>
      <c r="D843" s="164"/>
      <c r="E843" s="164"/>
      <c r="F843" s="164"/>
      <c r="G843" s="164"/>
      <c r="H843" s="164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  <c r="AB843" s="164"/>
      <c r="AC843" s="164"/>
      <c r="AD843" s="164"/>
      <c r="AE843" s="164"/>
      <c r="AF843" s="164"/>
      <c r="AG843" s="164"/>
      <c r="AH843" s="164"/>
      <c r="AI843" s="164"/>
      <c r="AJ843" s="164"/>
    </row>
    <row r="844" spans="1:36" ht="15.75" customHeight="1" x14ac:dyDescent="0.2">
      <c r="A844" s="164"/>
      <c r="B844" s="164"/>
      <c r="C844" s="164"/>
      <c r="D844" s="164"/>
      <c r="E844" s="164"/>
      <c r="F844" s="164"/>
      <c r="G844" s="164"/>
      <c r="H844" s="164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  <c r="AB844" s="164"/>
      <c r="AC844" s="164"/>
      <c r="AD844" s="164"/>
      <c r="AE844" s="164"/>
      <c r="AF844" s="164"/>
      <c r="AG844" s="164"/>
      <c r="AH844" s="164"/>
      <c r="AI844" s="164"/>
      <c r="AJ844" s="164"/>
    </row>
    <row r="845" spans="1:36" ht="15.75" customHeight="1" x14ac:dyDescent="0.2">
      <c r="A845" s="164"/>
      <c r="B845" s="164"/>
      <c r="C845" s="164"/>
      <c r="D845" s="164"/>
      <c r="E845" s="164"/>
      <c r="F845" s="164"/>
      <c r="G845" s="164"/>
      <c r="H845" s="164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  <c r="AB845" s="164"/>
      <c r="AC845" s="164"/>
      <c r="AD845" s="164"/>
      <c r="AE845" s="164"/>
      <c r="AF845" s="164"/>
      <c r="AG845" s="164"/>
      <c r="AH845" s="164"/>
      <c r="AI845" s="164"/>
      <c r="AJ845" s="164"/>
    </row>
    <row r="846" spans="1:36" ht="15.75" customHeight="1" x14ac:dyDescent="0.2">
      <c r="A846" s="164"/>
      <c r="B846" s="164"/>
      <c r="C846" s="164"/>
      <c r="D846" s="164"/>
      <c r="E846" s="164"/>
      <c r="F846" s="164"/>
      <c r="G846" s="164"/>
      <c r="H846" s="164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  <c r="AB846" s="164"/>
      <c r="AC846" s="164"/>
      <c r="AD846" s="164"/>
      <c r="AE846" s="164"/>
      <c r="AF846" s="164"/>
      <c r="AG846" s="164"/>
      <c r="AH846" s="164"/>
      <c r="AI846" s="164"/>
      <c r="AJ846" s="164"/>
    </row>
    <row r="847" spans="1:36" ht="15.75" customHeight="1" x14ac:dyDescent="0.2">
      <c r="A847" s="164"/>
      <c r="B847" s="164"/>
      <c r="C847" s="164"/>
      <c r="D847" s="164"/>
      <c r="E847" s="164"/>
      <c r="F847" s="164"/>
      <c r="G847" s="164"/>
      <c r="H847" s="164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  <c r="AB847" s="164"/>
      <c r="AC847" s="164"/>
      <c r="AD847" s="164"/>
      <c r="AE847" s="164"/>
      <c r="AF847" s="164"/>
      <c r="AG847" s="164"/>
      <c r="AH847" s="164"/>
      <c r="AI847" s="164"/>
      <c r="AJ847" s="164"/>
    </row>
    <row r="848" spans="1:36" ht="15.75" customHeight="1" x14ac:dyDescent="0.2">
      <c r="A848" s="164"/>
      <c r="B848" s="164"/>
      <c r="C848" s="164"/>
      <c r="D848" s="164"/>
      <c r="E848" s="164"/>
      <c r="F848" s="164"/>
      <c r="G848" s="164"/>
      <c r="H848" s="164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  <c r="AB848" s="164"/>
      <c r="AC848" s="164"/>
      <c r="AD848" s="164"/>
      <c r="AE848" s="164"/>
      <c r="AF848" s="164"/>
      <c r="AG848" s="164"/>
      <c r="AH848" s="164"/>
      <c r="AI848" s="164"/>
      <c r="AJ848" s="164"/>
    </row>
    <row r="849" spans="1:36" ht="15.75" customHeight="1" x14ac:dyDescent="0.2">
      <c r="A849" s="164"/>
      <c r="B849" s="164"/>
      <c r="C849" s="164"/>
      <c r="D849" s="164"/>
      <c r="E849" s="164"/>
      <c r="F849" s="164"/>
      <c r="G849" s="164"/>
      <c r="H849" s="164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  <c r="AB849" s="164"/>
      <c r="AC849" s="164"/>
      <c r="AD849" s="164"/>
      <c r="AE849" s="164"/>
      <c r="AF849" s="164"/>
      <c r="AG849" s="164"/>
      <c r="AH849" s="164"/>
      <c r="AI849" s="164"/>
      <c r="AJ849" s="164"/>
    </row>
    <row r="850" spans="1:36" ht="15.75" customHeight="1" x14ac:dyDescent="0.2">
      <c r="A850" s="164"/>
      <c r="B850" s="164"/>
      <c r="C850" s="164"/>
      <c r="D850" s="164"/>
      <c r="E850" s="164"/>
      <c r="F850" s="164"/>
      <c r="G850" s="164"/>
      <c r="H850" s="164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  <c r="AB850" s="164"/>
      <c r="AC850" s="164"/>
      <c r="AD850" s="164"/>
      <c r="AE850" s="164"/>
      <c r="AF850" s="164"/>
      <c r="AG850" s="164"/>
      <c r="AH850" s="164"/>
      <c r="AI850" s="164"/>
      <c r="AJ850" s="164"/>
    </row>
    <row r="851" spans="1:36" ht="15.75" customHeight="1" x14ac:dyDescent="0.2">
      <c r="A851" s="164"/>
      <c r="B851" s="164"/>
      <c r="C851" s="164"/>
      <c r="D851" s="164"/>
      <c r="E851" s="164"/>
      <c r="F851" s="164"/>
      <c r="G851" s="164"/>
      <c r="H851" s="164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  <c r="AB851" s="164"/>
      <c r="AC851" s="164"/>
      <c r="AD851" s="164"/>
      <c r="AE851" s="164"/>
      <c r="AF851" s="164"/>
      <c r="AG851" s="164"/>
      <c r="AH851" s="164"/>
      <c r="AI851" s="164"/>
      <c r="AJ851" s="164"/>
    </row>
    <row r="852" spans="1:36" ht="15.75" customHeight="1" x14ac:dyDescent="0.2">
      <c r="A852" s="164"/>
      <c r="B852" s="164"/>
      <c r="C852" s="164"/>
      <c r="D852" s="164"/>
      <c r="E852" s="164"/>
      <c r="F852" s="164"/>
      <c r="G852" s="164"/>
      <c r="H852" s="164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</row>
    <row r="853" spans="1:36" ht="15.75" customHeight="1" x14ac:dyDescent="0.2">
      <c r="A853" s="164"/>
      <c r="B853" s="164"/>
      <c r="C853" s="164"/>
      <c r="D853" s="164"/>
      <c r="E853" s="164"/>
      <c r="F853" s="164"/>
      <c r="G853" s="164"/>
      <c r="H853" s="164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</row>
    <row r="854" spans="1:36" ht="15.75" customHeight="1" x14ac:dyDescent="0.2">
      <c r="A854" s="164"/>
      <c r="B854" s="164"/>
      <c r="C854" s="164"/>
      <c r="D854" s="164"/>
      <c r="E854" s="164"/>
      <c r="F854" s="164"/>
      <c r="G854" s="164"/>
      <c r="H854" s="164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</row>
    <row r="855" spans="1:36" ht="15.75" customHeight="1" x14ac:dyDescent="0.2">
      <c r="A855" s="164"/>
      <c r="B855" s="164"/>
      <c r="C855" s="164"/>
      <c r="D855" s="164"/>
      <c r="E855" s="164"/>
      <c r="F855" s="164"/>
      <c r="G855" s="164"/>
      <c r="H855" s="164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</row>
    <row r="856" spans="1:36" ht="15.75" customHeight="1" x14ac:dyDescent="0.2">
      <c r="A856" s="164"/>
      <c r="B856" s="164"/>
      <c r="C856" s="164"/>
      <c r="D856" s="164"/>
      <c r="E856" s="164"/>
      <c r="F856" s="164"/>
      <c r="G856" s="164"/>
      <c r="H856" s="164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</row>
    <row r="857" spans="1:36" ht="15.75" customHeight="1" x14ac:dyDescent="0.2">
      <c r="A857" s="164"/>
      <c r="B857" s="164"/>
      <c r="C857" s="164"/>
      <c r="D857" s="164"/>
      <c r="E857" s="164"/>
      <c r="F857" s="164"/>
      <c r="G857" s="164"/>
      <c r="H857" s="164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</row>
    <row r="858" spans="1:36" ht="15.75" customHeight="1" x14ac:dyDescent="0.2">
      <c r="A858" s="164"/>
      <c r="B858" s="164"/>
      <c r="C858" s="164"/>
      <c r="D858" s="164"/>
      <c r="E858" s="164"/>
      <c r="F858" s="164"/>
      <c r="G858" s="164"/>
      <c r="H858" s="164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</row>
    <row r="859" spans="1:36" ht="15.75" customHeight="1" x14ac:dyDescent="0.2">
      <c r="A859" s="164"/>
      <c r="B859" s="164"/>
      <c r="C859" s="164"/>
      <c r="D859" s="164"/>
      <c r="E859" s="164"/>
      <c r="F859" s="164"/>
      <c r="G859" s="164"/>
      <c r="H859" s="164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</row>
    <row r="860" spans="1:36" ht="15.75" customHeight="1" x14ac:dyDescent="0.2">
      <c r="A860" s="164"/>
      <c r="B860" s="164"/>
      <c r="C860" s="164"/>
      <c r="D860" s="164"/>
      <c r="E860" s="164"/>
      <c r="F860" s="164"/>
      <c r="G860" s="164"/>
      <c r="H860" s="164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</row>
    <row r="861" spans="1:36" ht="15.75" customHeight="1" x14ac:dyDescent="0.2">
      <c r="A861" s="164"/>
      <c r="B861" s="164"/>
      <c r="C861" s="164"/>
      <c r="D861" s="164"/>
      <c r="E861" s="164"/>
      <c r="F861" s="164"/>
      <c r="G861" s="164"/>
      <c r="H861" s="164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  <c r="AB861" s="164"/>
      <c r="AC861" s="164"/>
      <c r="AD861" s="164"/>
      <c r="AE861" s="164"/>
      <c r="AF861" s="164"/>
      <c r="AG861" s="164"/>
      <c r="AH861" s="164"/>
      <c r="AI861" s="164"/>
      <c r="AJ861" s="164"/>
    </row>
    <row r="862" spans="1:36" ht="15.75" customHeight="1" x14ac:dyDescent="0.2">
      <c r="A862" s="164"/>
      <c r="B862" s="164"/>
      <c r="C862" s="164"/>
      <c r="D862" s="164"/>
      <c r="E862" s="164"/>
      <c r="F862" s="164"/>
      <c r="G862" s="164"/>
      <c r="H862" s="164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  <c r="AB862" s="164"/>
      <c r="AC862" s="164"/>
      <c r="AD862" s="164"/>
      <c r="AE862" s="164"/>
      <c r="AF862" s="164"/>
      <c r="AG862" s="164"/>
      <c r="AH862" s="164"/>
      <c r="AI862" s="164"/>
      <c r="AJ862" s="164"/>
    </row>
    <row r="863" spans="1:36" ht="15.75" customHeight="1" x14ac:dyDescent="0.2">
      <c r="A863" s="164"/>
      <c r="B863" s="164"/>
      <c r="C863" s="164"/>
      <c r="D863" s="164"/>
      <c r="E863" s="164"/>
      <c r="F863" s="164"/>
      <c r="G863" s="164"/>
      <c r="H863" s="164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  <c r="AB863" s="164"/>
      <c r="AC863" s="164"/>
      <c r="AD863" s="164"/>
      <c r="AE863" s="164"/>
      <c r="AF863" s="164"/>
      <c r="AG863" s="164"/>
      <c r="AH863" s="164"/>
      <c r="AI863" s="164"/>
      <c r="AJ863" s="164"/>
    </row>
    <row r="864" spans="1:36" ht="15.75" customHeight="1" x14ac:dyDescent="0.2">
      <c r="A864" s="164"/>
      <c r="B864" s="164"/>
      <c r="C864" s="164"/>
      <c r="D864" s="164"/>
      <c r="E864" s="164"/>
      <c r="F864" s="164"/>
      <c r="G864" s="164"/>
      <c r="H864" s="164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  <c r="AB864" s="164"/>
      <c r="AC864" s="164"/>
      <c r="AD864" s="164"/>
      <c r="AE864" s="164"/>
      <c r="AF864" s="164"/>
      <c r="AG864" s="164"/>
      <c r="AH864" s="164"/>
      <c r="AI864" s="164"/>
      <c r="AJ864" s="164"/>
    </row>
    <row r="865" spans="1:36" ht="15.75" customHeight="1" x14ac:dyDescent="0.2">
      <c r="A865" s="164"/>
      <c r="B865" s="164"/>
      <c r="C865" s="164"/>
      <c r="D865" s="164"/>
      <c r="E865" s="164"/>
      <c r="F865" s="164"/>
      <c r="G865" s="164"/>
      <c r="H865" s="164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  <c r="AB865" s="164"/>
      <c r="AC865" s="164"/>
      <c r="AD865" s="164"/>
      <c r="AE865" s="164"/>
      <c r="AF865" s="164"/>
      <c r="AG865" s="164"/>
      <c r="AH865" s="164"/>
      <c r="AI865" s="164"/>
      <c r="AJ865" s="164"/>
    </row>
    <row r="866" spans="1:36" ht="15.75" customHeight="1" x14ac:dyDescent="0.2">
      <c r="A866" s="164"/>
      <c r="B866" s="164"/>
      <c r="C866" s="164"/>
      <c r="D866" s="164"/>
      <c r="E866" s="164"/>
      <c r="F866" s="164"/>
      <c r="G866" s="164"/>
      <c r="H866" s="164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  <c r="AB866" s="164"/>
      <c r="AC866" s="164"/>
      <c r="AD866" s="164"/>
      <c r="AE866" s="164"/>
      <c r="AF866" s="164"/>
      <c r="AG866" s="164"/>
      <c r="AH866" s="164"/>
      <c r="AI866" s="164"/>
      <c r="AJ866" s="164"/>
    </row>
    <row r="867" spans="1:36" ht="15.75" customHeight="1" x14ac:dyDescent="0.2">
      <c r="A867" s="164"/>
      <c r="B867" s="164"/>
      <c r="C867" s="164"/>
      <c r="D867" s="164"/>
      <c r="E867" s="164"/>
      <c r="F867" s="164"/>
      <c r="G867" s="164"/>
      <c r="H867" s="164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  <c r="AB867" s="164"/>
      <c r="AC867" s="164"/>
      <c r="AD867" s="164"/>
      <c r="AE867" s="164"/>
      <c r="AF867" s="164"/>
      <c r="AG867" s="164"/>
      <c r="AH867" s="164"/>
      <c r="AI867" s="164"/>
      <c r="AJ867" s="164"/>
    </row>
    <row r="868" spans="1:36" ht="15.75" customHeight="1" x14ac:dyDescent="0.2">
      <c r="A868" s="164"/>
      <c r="B868" s="164"/>
      <c r="C868" s="164"/>
      <c r="D868" s="164"/>
      <c r="E868" s="164"/>
      <c r="F868" s="164"/>
      <c r="G868" s="164"/>
      <c r="H868" s="164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  <c r="AB868" s="164"/>
      <c r="AC868" s="164"/>
      <c r="AD868" s="164"/>
      <c r="AE868" s="164"/>
      <c r="AF868" s="164"/>
      <c r="AG868" s="164"/>
      <c r="AH868" s="164"/>
      <c r="AI868" s="164"/>
      <c r="AJ868" s="164"/>
    </row>
    <row r="869" spans="1:36" ht="15.75" customHeight="1" x14ac:dyDescent="0.2">
      <c r="A869" s="164"/>
      <c r="B869" s="164"/>
      <c r="C869" s="164"/>
      <c r="D869" s="164"/>
      <c r="E869" s="164"/>
      <c r="F869" s="164"/>
      <c r="G869" s="164"/>
      <c r="H869" s="164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  <c r="AB869" s="164"/>
      <c r="AC869" s="164"/>
      <c r="AD869" s="164"/>
      <c r="AE869" s="164"/>
      <c r="AF869" s="164"/>
      <c r="AG869" s="164"/>
      <c r="AH869" s="164"/>
      <c r="AI869" s="164"/>
      <c r="AJ869" s="164"/>
    </row>
    <row r="870" spans="1:36" ht="15.75" customHeight="1" x14ac:dyDescent="0.2">
      <c r="A870" s="164"/>
      <c r="B870" s="164"/>
      <c r="C870" s="164"/>
      <c r="D870" s="164"/>
      <c r="E870" s="164"/>
      <c r="F870" s="164"/>
      <c r="G870" s="164"/>
      <c r="H870" s="164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  <c r="AB870" s="164"/>
      <c r="AC870" s="164"/>
      <c r="AD870" s="164"/>
      <c r="AE870" s="164"/>
      <c r="AF870" s="164"/>
      <c r="AG870" s="164"/>
      <c r="AH870" s="164"/>
      <c r="AI870" s="164"/>
      <c r="AJ870" s="164"/>
    </row>
    <row r="871" spans="1:36" ht="15.75" customHeight="1" x14ac:dyDescent="0.2">
      <c r="A871" s="164"/>
      <c r="B871" s="164"/>
      <c r="C871" s="164"/>
      <c r="D871" s="164"/>
      <c r="E871" s="164"/>
      <c r="F871" s="164"/>
      <c r="G871" s="164"/>
      <c r="H871" s="164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  <c r="AB871" s="164"/>
      <c r="AC871" s="164"/>
      <c r="AD871" s="164"/>
      <c r="AE871" s="164"/>
      <c r="AF871" s="164"/>
      <c r="AG871" s="164"/>
      <c r="AH871" s="164"/>
      <c r="AI871" s="164"/>
      <c r="AJ871" s="164"/>
    </row>
    <row r="872" spans="1:36" ht="15.75" customHeight="1" x14ac:dyDescent="0.2">
      <c r="A872" s="164"/>
      <c r="B872" s="164"/>
      <c r="C872" s="164"/>
      <c r="D872" s="164"/>
      <c r="E872" s="164"/>
      <c r="F872" s="164"/>
      <c r="G872" s="164"/>
      <c r="H872" s="164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  <c r="AB872" s="164"/>
      <c r="AC872" s="164"/>
      <c r="AD872" s="164"/>
      <c r="AE872" s="164"/>
      <c r="AF872" s="164"/>
      <c r="AG872" s="164"/>
      <c r="AH872" s="164"/>
      <c r="AI872" s="164"/>
      <c r="AJ872" s="164"/>
    </row>
    <row r="873" spans="1:36" ht="15.75" customHeight="1" x14ac:dyDescent="0.2">
      <c r="A873" s="164"/>
      <c r="B873" s="164"/>
      <c r="C873" s="164"/>
      <c r="D873" s="164"/>
      <c r="E873" s="164"/>
      <c r="F873" s="164"/>
      <c r="G873" s="164"/>
      <c r="H873" s="164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4"/>
      <c r="AE873" s="164"/>
      <c r="AF873" s="164"/>
      <c r="AG873" s="164"/>
      <c r="AH873" s="164"/>
      <c r="AI873" s="164"/>
      <c r="AJ873" s="164"/>
    </row>
    <row r="874" spans="1:36" ht="15.75" customHeight="1" x14ac:dyDescent="0.2">
      <c r="A874" s="164"/>
      <c r="B874" s="164"/>
      <c r="C874" s="164"/>
      <c r="D874" s="164"/>
      <c r="E874" s="164"/>
      <c r="F874" s="164"/>
      <c r="G874" s="164"/>
      <c r="H874" s="164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  <c r="AB874" s="164"/>
      <c r="AC874" s="164"/>
      <c r="AD874" s="164"/>
      <c r="AE874" s="164"/>
      <c r="AF874" s="164"/>
      <c r="AG874" s="164"/>
      <c r="AH874" s="164"/>
      <c r="AI874" s="164"/>
      <c r="AJ874" s="164"/>
    </row>
    <row r="875" spans="1:36" ht="15.75" customHeight="1" x14ac:dyDescent="0.2">
      <c r="A875" s="164"/>
      <c r="B875" s="164"/>
      <c r="C875" s="164"/>
      <c r="D875" s="164"/>
      <c r="E875" s="164"/>
      <c r="F875" s="164"/>
      <c r="G875" s="164"/>
      <c r="H875" s="164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164"/>
      <c r="AE875" s="164"/>
      <c r="AF875" s="164"/>
      <c r="AG875" s="164"/>
      <c r="AH875" s="164"/>
      <c r="AI875" s="164"/>
      <c r="AJ875" s="164"/>
    </row>
    <row r="876" spans="1:36" ht="15.75" customHeight="1" x14ac:dyDescent="0.2">
      <c r="A876" s="164"/>
      <c r="B876" s="164"/>
      <c r="C876" s="164"/>
      <c r="D876" s="164"/>
      <c r="E876" s="164"/>
      <c r="F876" s="164"/>
      <c r="G876" s="164"/>
      <c r="H876" s="164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  <c r="AB876" s="164"/>
      <c r="AC876" s="164"/>
      <c r="AD876" s="164"/>
      <c r="AE876" s="164"/>
      <c r="AF876" s="164"/>
      <c r="AG876" s="164"/>
      <c r="AH876" s="164"/>
      <c r="AI876" s="164"/>
      <c r="AJ876" s="164"/>
    </row>
    <row r="877" spans="1:36" ht="15.75" customHeight="1" x14ac:dyDescent="0.2">
      <c r="A877" s="164"/>
      <c r="B877" s="164"/>
      <c r="C877" s="164"/>
      <c r="D877" s="164"/>
      <c r="E877" s="164"/>
      <c r="F877" s="164"/>
      <c r="G877" s="164"/>
      <c r="H877" s="164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  <c r="AB877" s="164"/>
      <c r="AC877" s="164"/>
      <c r="AD877" s="164"/>
      <c r="AE877" s="164"/>
      <c r="AF877" s="164"/>
      <c r="AG877" s="164"/>
      <c r="AH877" s="164"/>
      <c r="AI877" s="164"/>
      <c r="AJ877" s="164"/>
    </row>
    <row r="878" spans="1:36" ht="15.75" customHeight="1" x14ac:dyDescent="0.2">
      <c r="A878" s="164"/>
      <c r="B878" s="164"/>
      <c r="C878" s="164"/>
      <c r="D878" s="164"/>
      <c r="E878" s="164"/>
      <c r="F878" s="164"/>
      <c r="G878" s="164"/>
      <c r="H878" s="164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  <c r="AB878" s="164"/>
      <c r="AC878" s="164"/>
      <c r="AD878" s="164"/>
      <c r="AE878" s="164"/>
      <c r="AF878" s="164"/>
      <c r="AG878" s="164"/>
      <c r="AH878" s="164"/>
      <c r="AI878" s="164"/>
      <c r="AJ878" s="164"/>
    </row>
    <row r="879" spans="1:36" ht="15.75" customHeight="1" x14ac:dyDescent="0.2">
      <c r="A879" s="164"/>
      <c r="B879" s="164"/>
      <c r="C879" s="164"/>
      <c r="D879" s="164"/>
      <c r="E879" s="164"/>
      <c r="F879" s="164"/>
      <c r="G879" s="164"/>
      <c r="H879" s="164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</row>
    <row r="880" spans="1:36" ht="15.75" customHeight="1" x14ac:dyDescent="0.2">
      <c r="A880" s="164"/>
      <c r="B880" s="164"/>
      <c r="C880" s="164"/>
      <c r="D880" s="164"/>
      <c r="E880" s="164"/>
      <c r="F880" s="164"/>
      <c r="G880" s="164"/>
      <c r="H880" s="164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  <c r="AB880" s="164"/>
      <c r="AC880" s="164"/>
      <c r="AD880" s="164"/>
      <c r="AE880" s="164"/>
      <c r="AF880" s="164"/>
      <c r="AG880" s="164"/>
      <c r="AH880" s="164"/>
      <c r="AI880" s="164"/>
      <c r="AJ880" s="164"/>
    </row>
    <row r="881" spans="1:36" ht="15.75" customHeight="1" x14ac:dyDescent="0.2">
      <c r="A881" s="164"/>
      <c r="B881" s="164"/>
      <c r="C881" s="164"/>
      <c r="D881" s="164"/>
      <c r="E881" s="164"/>
      <c r="F881" s="164"/>
      <c r="G881" s="164"/>
      <c r="H881" s="164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</row>
    <row r="882" spans="1:36" ht="15.75" customHeight="1" x14ac:dyDescent="0.2">
      <c r="A882" s="164"/>
      <c r="B882" s="164"/>
      <c r="C882" s="164"/>
      <c r="D882" s="164"/>
      <c r="E882" s="164"/>
      <c r="F882" s="164"/>
      <c r="G882" s="164"/>
      <c r="H882" s="164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  <c r="AB882" s="164"/>
      <c r="AC882" s="164"/>
      <c r="AD882" s="164"/>
      <c r="AE882" s="164"/>
      <c r="AF882" s="164"/>
      <c r="AG882" s="164"/>
      <c r="AH882" s="164"/>
      <c r="AI882" s="164"/>
      <c r="AJ882" s="164"/>
    </row>
    <row r="883" spans="1:36" ht="15.75" customHeight="1" x14ac:dyDescent="0.2">
      <c r="A883" s="164"/>
      <c r="B883" s="164"/>
      <c r="C883" s="164"/>
      <c r="D883" s="164"/>
      <c r="E883" s="164"/>
      <c r="F883" s="164"/>
      <c r="G883" s="164"/>
      <c r="H883" s="164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  <c r="AB883" s="164"/>
      <c r="AC883" s="164"/>
      <c r="AD883" s="164"/>
      <c r="AE883" s="164"/>
      <c r="AF883" s="164"/>
      <c r="AG883" s="164"/>
      <c r="AH883" s="164"/>
      <c r="AI883" s="164"/>
      <c r="AJ883" s="164"/>
    </row>
    <row r="884" spans="1:36" ht="15.75" customHeight="1" x14ac:dyDescent="0.2">
      <c r="A884" s="164"/>
      <c r="B884" s="164"/>
      <c r="C884" s="164"/>
      <c r="D884" s="164"/>
      <c r="E884" s="164"/>
      <c r="F884" s="164"/>
      <c r="G884" s="164"/>
      <c r="H884" s="164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  <c r="AB884" s="164"/>
      <c r="AC884" s="164"/>
      <c r="AD884" s="164"/>
      <c r="AE884" s="164"/>
      <c r="AF884" s="164"/>
      <c r="AG884" s="164"/>
      <c r="AH884" s="164"/>
      <c r="AI884" s="164"/>
      <c r="AJ884" s="164"/>
    </row>
    <row r="885" spans="1:36" ht="15.75" customHeight="1" x14ac:dyDescent="0.2">
      <c r="A885" s="164"/>
      <c r="B885" s="164"/>
      <c r="C885" s="164"/>
      <c r="D885" s="164"/>
      <c r="E885" s="164"/>
      <c r="F885" s="164"/>
      <c r="G885" s="164"/>
      <c r="H885" s="164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  <c r="AB885" s="164"/>
      <c r="AC885" s="164"/>
      <c r="AD885" s="164"/>
      <c r="AE885" s="164"/>
      <c r="AF885" s="164"/>
      <c r="AG885" s="164"/>
      <c r="AH885" s="164"/>
      <c r="AI885" s="164"/>
      <c r="AJ885" s="164"/>
    </row>
    <row r="886" spans="1:36" ht="15.75" customHeight="1" x14ac:dyDescent="0.2">
      <c r="A886" s="164"/>
      <c r="B886" s="164"/>
      <c r="C886" s="164"/>
      <c r="D886" s="164"/>
      <c r="E886" s="164"/>
      <c r="F886" s="164"/>
      <c r="G886" s="164"/>
      <c r="H886" s="164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  <c r="AB886" s="164"/>
      <c r="AC886" s="164"/>
      <c r="AD886" s="164"/>
      <c r="AE886" s="164"/>
      <c r="AF886" s="164"/>
      <c r="AG886" s="164"/>
      <c r="AH886" s="164"/>
      <c r="AI886" s="164"/>
      <c r="AJ886" s="164"/>
    </row>
    <row r="887" spans="1:36" ht="15.75" customHeight="1" x14ac:dyDescent="0.2">
      <c r="A887" s="164"/>
      <c r="B887" s="164"/>
      <c r="C887" s="164"/>
      <c r="D887" s="164"/>
      <c r="E887" s="164"/>
      <c r="F887" s="164"/>
      <c r="G887" s="164"/>
      <c r="H887" s="164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  <c r="AB887" s="164"/>
      <c r="AC887" s="164"/>
      <c r="AD887" s="164"/>
      <c r="AE887" s="164"/>
      <c r="AF887" s="164"/>
      <c r="AG887" s="164"/>
      <c r="AH887" s="164"/>
      <c r="AI887" s="164"/>
      <c r="AJ887" s="164"/>
    </row>
    <row r="888" spans="1:36" ht="15.75" customHeight="1" x14ac:dyDescent="0.2">
      <c r="A888" s="164"/>
      <c r="B888" s="164"/>
      <c r="C888" s="164"/>
      <c r="D888" s="164"/>
      <c r="E888" s="164"/>
      <c r="F888" s="164"/>
      <c r="G888" s="164"/>
      <c r="H888" s="164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  <c r="AB888" s="164"/>
      <c r="AC888" s="164"/>
      <c r="AD888" s="164"/>
      <c r="AE888" s="164"/>
      <c r="AF888" s="164"/>
      <c r="AG888" s="164"/>
      <c r="AH888" s="164"/>
      <c r="AI888" s="164"/>
      <c r="AJ888" s="164"/>
    </row>
    <row r="889" spans="1:36" ht="15.75" customHeight="1" x14ac:dyDescent="0.2">
      <c r="A889" s="164"/>
      <c r="B889" s="164"/>
      <c r="C889" s="164"/>
      <c r="D889" s="164"/>
      <c r="E889" s="164"/>
      <c r="F889" s="164"/>
      <c r="G889" s="164"/>
      <c r="H889" s="164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  <c r="AB889" s="164"/>
      <c r="AC889" s="164"/>
      <c r="AD889" s="164"/>
      <c r="AE889" s="164"/>
      <c r="AF889" s="164"/>
      <c r="AG889" s="164"/>
      <c r="AH889" s="164"/>
      <c r="AI889" s="164"/>
      <c r="AJ889" s="164"/>
    </row>
    <row r="890" spans="1:36" ht="15.75" customHeight="1" x14ac:dyDescent="0.2">
      <c r="A890" s="164"/>
      <c r="B890" s="164"/>
      <c r="C890" s="164"/>
      <c r="D890" s="164"/>
      <c r="E890" s="164"/>
      <c r="F890" s="164"/>
      <c r="G890" s="164"/>
      <c r="H890" s="164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  <c r="AB890" s="164"/>
      <c r="AC890" s="164"/>
      <c r="AD890" s="164"/>
      <c r="AE890" s="164"/>
      <c r="AF890" s="164"/>
      <c r="AG890" s="164"/>
      <c r="AH890" s="164"/>
      <c r="AI890" s="164"/>
      <c r="AJ890" s="164"/>
    </row>
    <row r="891" spans="1:36" ht="15.75" customHeight="1" x14ac:dyDescent="0.2">
      <c r="A891" s="164"/>
      <c r="B891" s="164"/>
      <c r="C891" s="164"/>
      <c r="D891" s="164"/>
      <c r="E891" s="164"/>
      <c r="F891" s="164"/>
      <c r="G891" s="164"/>
      <c r="H891" s="164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64"/>
      <c r="AC891" s="164"/>
      <c r="AD891" s="164"/>
      <c r="AE891" s="164"/>
      <c r="AF891" s="164"/>
      <c r="AG891" s="164"/>
      <c r="AH891" s="164"/>
      <c r="AI891" s="164"/>
      <c r="AJ891" s="164"/>
    </row>
    <row r="892" spans="1:36" ht="15.75" customHeight="1" x14ac:dyDescent="0.2">
      <c r="A892" s="164"/>
      <c r="B892" s="164"/>
      <c r="C892" s="164"/>
      <c r="D892" s="164"/>
      <c r="E892" s="164"/>
      <c r="F892" s="164"/>
      <c r="G892" s="164"/>
      <c r="H892" s="164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  <c r="AB892" s="164"/>
      <c r="AC892" s="164"/>
      <c r="AD892" s="164"/>
      <c r="AE892" s="164"/>
      <c r="AF892" s="164"/>
      <c r="AG892" s="164"/>
      <c r="AH892" s="164"/>
      <c r="AI892" s="164"/>
      <c r="AJ892" s="164"/>
    </row>
    <row r="893" spans="1:36" ht="15.75" customHeight="1" x14ac:dyDescent="0.2">
      <c r="A893" s="164"/>
      <c r="B893" s="164"/>
      <c r="C893" s="164"/>
      <c r="D893" s="164"/>
      <c r="E893" s="164"/>
      <c r="F893" s="164"/>
      <c r="G893" s="164"/>
      <c r="H893" s="164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  <c r="AB893" s="164"/>
      <c r="AC893" s="164"/>
      <c r="AD893" s="164"/>
      <c r="AE893" s="164"/>
      <c r="AF893" s="164"/>
      <c r="AG893" s="164"/>
      <c r="AH893" s="164"/>
      <c r="AI893" s="164"/>
      <c r="AJ893" s="164"/>
    </row>
    <row r="894" spans="1:36" ht="15.75" customHeight="1" x14ac:dyDescent="0.2">
      <c r="A894" s="164"/>
      <c r="B894" s="164"/>
      <c r="C894" s="164"/>
      <c r="D894" s="164"/>
      <c r="E894" s="164"/>
      <c r="F894" s="164"/>
      <c r="G894" s="164"/>
      <c r="H894" s="164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  <c r="AB894" s="164"/>
      <c r="AC894" s="164"/>
      <c r="AD894" s="164"/>
      <c r="AE894" s="164"/>
      <c r="AF894" s="164"/>
      <c r="AG894" s="164"/>
      <c r="AH894" s="164"/>
      <c r="AI894" s="164"/>
      <c r="AJ894" s="164"/>
    </row>
    <row r="895" spans="1:36" ht="15.75" customHeight="1" x14ac:dyDescent="0.2">
      <c r="A895" s="164"/>
      <c r="B895" s="164"/>
      <c r="C895" s="164"/>
      <c r="D895" s="164"/>
      <c r="E895" s="164"/>
      <c r="F895" s="164"/>
      <c r="G895" s="164"/>
      <c r="H895" s="164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  <c r="AB895" s="164"/>
      <c r="AC895" s="164"/>
      <c r="AD895" s="164"/>
      <c r="AE895" s="164"/>
      <c r="AF895" s="164"/>
      <c r="AG895" s="164"/>
      <c r="AH895" s="164"/>
      <c r="AI895" s="164"/>
      <c r="AJ895" s="164"/>
    </row>
    <row r="896" spans="1:36" ht="15.75" customHeight="1" x14ac:dyDescent="0.2">
      <c r="A896" s="164"/>
      <c r="B896" s="164"/>
      <c r="C896" s="164"/>
      <c r="D896" s="164"/>
      <c r="E896" s="164"/>
      <c r="F896" s="164"/>
      <c r="G896" s="164"/>
      <c r="H896" s="164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  <c r="AB896" s="164"/>
      <c r="AC896" s="164"/>
      <c r="AD896" s="164"/>
      <c r="AE896" s="164"/>
      <c r="AF896" s="164"/>
      <c r="AG896" s="164"/>
      <c r="AH896" s="164"/>
      <c r="AI896" s="164"/>
      <c r="AJ896" s="164"/>
    </row>
    <row r="897" spans="1:36" ht="15.75" customHeight="1" x14ac:dyDescent="0.2">
      <c r="A897" s="164"/>
      <c r="B897" s="164"/>
      <c r="C897" s="164"/>
      <c r="D897" s="164"/>
      <c r="E897" s="164"/>
      <c r="F897" s="164"/>
      <c r="G897" s="164"/>
      <c r="H897" s="164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  <c r="AB897" s="164"/>
      <c r="AC897" s="164"/>
      <c r="AD897" s="164"/>
      <c r="AE897" s="164"/>
      <c r="AF897" s="164"/>
      <c r="AG897" s="164"/>
      <c r="AH897" s="164"/>
      <c r="AI897" s="164"/>
      <c r="AJ897" s="164"/>
    </row>
    <row r="898" spans="1:36" ht="15.75" customHeight="1" x14ac:dyDescent="0.2">
      <c r="A898" s="164"/>
      <c r="B898" s="164"/>
      <c r="C898" s="164"/>
      <c r="D898" s="164"/>
      <c r="E898" s="164"/>
      <c r="F898" s="164"/>
      <c r="G898" s="164"/>
      <c r="H898" s="164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  <c r="AB898" s="164"/>
      <c r="AC898" s="164"/>
      <c r="AD898" s="164"/>
      <c r="AE898" s="164"/>
      <c r="AF898" s="164"/>
      <c r="AG898" s="164"/>
      <c r="AH898" s="164"/>
      <c r="AI898" s="164"/>
      <c r="AJ898" s="164"/>
    </row>
    <row r="899" spans="1:36" ht="15.75" customHeight="1" x14ac:dyDescent="0.2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  <c r="AB899" s="164"/>
      <c r="AC899" s="164"/>
      <c r="AD899" s="164"/>
      <c r="AE899" s="164"/>
      <c r="AF899" s="164"/>
      <c r="AG899" s="164"/>
      <c r="AH899" s="164"/>
      <c r="AI899" s="164"/>
      <c r="AJ899" s="164"/>
    </row>
    <row r="900" spans="1:36" ht="15.75" customHeight="1" x14ac:dyDescent="0.2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  <c r="AB900" s="164"/>
      <c r="AC900" s="164"/>
      <c r="AD900" s="164"/>
      <c r="AE900" s="164"/>
      <c r="AF900" s="164"/>
      <c r="AG900" s="164"/>
      <c r="AH900" s="164"/>
      <c r="AI900" s="164"/>
      <c r="AJ900" s="164"/>
    </row>
    <row r="901" spans="1:36" ht="15.75" customHeight="1" x14ac:dyDescent="0.2">
      <c r="A901" s="164"/>
      <c r="B901" s="164"/>
      <c r="C901" s="164"/>
      <c r="D901" s="164"/>
      <c r="E901" s="164"/>
      <c r="F901" s="164"/>
      <c r="G901" s="164"/>
      <c r="H901" s="164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  <c r="AB901" s="164"/>
      <c r="AC901" s="164"/>
      <c r="AD901" s="164"/>
      <c r="AE901" s="164"/>
      <c r="AF901" s="164"/>
      <c r="AG901" s="164"/>
      <c r="AH901" s="164"/>
      <c r="AI901" s="164"/>
      <c r="AJ901" s="164"/>
    </row>
    <row r="902" spans="1:36" ht="15.75" customHeight="1" x14ac:dyDescent="0.2">
      <c r="A902" s="164"/>
      <c r="B902" s="164"/>
      <c r="C902" s="164"/>
      <c r="D902" s="164"/>
      <c r="E902" s="164"/>
      <c r="F902" s="164"/>
      <c r="G902" s="164"/>
      <c r="H902" s="164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  <c r="AB902" s="164"/>
      <c r="AC902" s="164"/>
      <c r="AD902" s="164"/>
      <c r="AE902" s="164"/>
      <c r="AF902" s="164"/>
      <c r="AG902" s="164"/>
      <c r="AH902" s="164"/>
      <c r="AI902" s="164"/>
      <c r="AJ902" s="164"/>
    </row>
    <row r="903" spans="1:36" ht="15.75" customHeight="1" x14ac:dyDescent="0.2">
      <c r="A903" s="164"/>
      <c r="B903" s="164"/>
      <c r="C903" s="164"/>
      <c r="D903" s="164"/>
      <c r="E903" s="164"/>
      <c r="F903" s="164"/>
      <c r="G903" s="164"/>
      <c r="H903" s="164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  <c r="AB903" s="164"/>
      <c r="AC903" s="164"/>
      <c r="AD903" s="164"/>
      <c r="AE903" s="164"/>
      <c r="AF903" s="164"/>
      <c r="AG903" s="164"/>
      <c r="AH903" s="164"/>
      <c r="AI903" s="164"/>
      <c r="AJ903" s="164"/>
    </row>
    <row r="904" spans="1:36" ht="15.75" customHeight="1" x14ac:dyDescent="0.2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  <c r="AB904" s="164"/>
      <c r="AC904" s="164"/>
      <c r="AD904" s="164"/>
      <c r="AE904" s="164"/>
      <c r="AF904" s="164"/>
      <c r="AG904" s="164"/>
      <c r="AH904" s="164"/>
      <c r="AI904" s="164"/>
      <c r="AJ904" s="164"/>
    </row>
    <row r="905" spans="1:36" ht="15.75" customHeight="1" x14ac:dyDescent="0.2">
      <c r="A905" s="164"/>
      <c r="B905" s="164"/>
      <c r="C905" s="164"/>
      <c r="D905" s="164"/>
      <c r="E905" s="164"/>
      <c r="F905" s="164"/>
      <c r="G905" s="164"/>
      <c r="H905" s="164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  <c r="AB905" s="164"/>
      <c r="AC905" s="164"/>
      <c r="AD905" s="164"/>
      <c r="AE905" s="164"/>
      <c r="AF905" s="164"/>
      <c r="AG905" s="164"/>
      <c r="AH905" s="164"/>
      <c r="AI905" s="164"/>
      <c r="AJ905" s="164"/>
    </row>
    <row r="906" spans="1:36" ht="15.75" customHeight="1" x14ac:dyDescent="0.2">
      <c r="A906" s="164"/>
      <c r="B906" s="164"/>
      <c r="C906" s="164"/>
      <c r="D906" s="164"/>
      <c r="E906" s="164"/>
      <c r="F906" s="164"/>
      <c r="G906" s="164"/>
      <c r="H906" s="164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</row>
    <row r="907" spans="1:36" ht="15.75" customHeight="1" x14ac:dyDescent="0.2">
      <c r="A907" s="164"/>
      <c r="B907" s="164"/>
      <c r="C907" s="164"/>
      <c r="D907" s="164"/>
      <c r="E907" s="164"/>
      <c r="F907" s="164"/>
      <c r="G907" s="164"/>
      <c r="H907" s="164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</row>
    <row r="908" spans="1:36" ht="15.75" customHeight="1" x14ac:dyDescent="0.2">
      <c r="A908" s="164"/>
      <c r="B908" s="164"/>
      <c r="C908" s="164"/>
      <c r="D908" s="164"/>
      <c r="E908" s="164"/>
      <c r="F908" s="164"/>
      <c r="G908" s="164"/>
      <c r="H908" s="164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</row>
    <row r="909" spans="1:36" ht="15.75" customHeight="1" x14ac:dyDescent="0.2">
      <c r="A909" s="164"/>
      <c r="B909" s="164"/>
      <c r="C909" s="164"/>
      <c r="D909" s="164"/>
      <c r="E909" s="164"/>
      <c r="F909" s="164"/>
      <c r="G909" s="164"/>
      <c r="H909" s="164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</row>
    <row r="910" spans="1:36" ht="15.75" customHeight="1" x14ac:dyDescent="0.2">
      <c r="A910" s="164"/>
      <c r="B910" s="164"/>
      <c r="C910" s="164"/>
      <c r="D910" s="164"/>
      <c r="E910" s="164"/>
      <c r="F910" s="164"/>
      <c r="G910" s="164"/>
      <c r="H910" s="164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</row>
    <row r="911" spans="1:36" ht="15.75" customHeight="1" x14ac:dyDescent="0.2">
      <c r="A911" s="164"/>
      <c r="B911" s="164"/>
      <c r="C911" s="164"/>
      <c r="D911" s="164"/>
      <c r="E911" s="164"/>
      <c r="F911" s="164"/>
      <c r="G911" s="164"/>
      <c r="H911" s="164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</row>
    <row r="912" spans="1:36" ht="15.75" customHeight="1" x14ac:dyDescent="0.2">
      <c r="A912" s="164"/>
      <c r="B912" s="164"/>
      <c r="C912" s="164"/>
      <c r="D912" s="164"/>
      <c r="E912" s="164"/>
      <c r="F912" s="164"/>
      <c r="G912" s="164"/>
      <c r="H912" s="164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</row>
    <row r="913" spans="1:36" ht="15.75" customHeight="1" x14ac:dyDescent="0.2">
      <c r="A913" s="164"/>
      <c r="B913" s="164"/>
      <c r="C913" s="164"/>
      <c r="D913" s="164"/>
      <c r="E913" s="164"/>
      <c r="F913" s="164"/>
      <c r="G913" s="164"/>
      <c r="H913" s="164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</row>
    <row r="914" spans="1:36" ht="15.75" customHeight="1" x14ac:dyDescent="0.2">
      <c r="A914" s="164"/>
      <c r="B914" s="164"/>
      <c r="C914" s="164"/>
      <c r="D914" s="164"/>
      <c r="E914" s="164"/>
      <c r="F914" s="164"/>
      <c r="G914" s="164"/>
      <c r="H914" s="164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</row>
    <row r="915" spans="1:36" ht="15.75" customHeight="1" x14ac:dyDescent="0.2">
      <c r="A915" s="164"/>
      <c r="B915" s="164"/>
      <c r="C915" s="164"/>
      <c r="D915" s="164"/>
      <c r="E915" s="164"/>
      <c r="F915" s="164"/>
      <c r="G915" s="164"/>
      <c r="H915" s="164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  <c r="AB915" s="164"/>
      <c r="AC915" s="164"/>
      <c r="AD915" s="164"/>
      <c r="AE915" s="164"/>
      <c r="AF915" s="164"/>
      <c r="AG915" s="164"/>
      <c r="AH915" s="164"/>
      <c r="AI915" s="164"/>
      <c r="AJ915" s="164"/>
    </row>
    <row r="916" spans="1:36" ht="15.75" customHeight="1" x14ac:dyDescent="0.2">
      <c r="A916" s="164"/>
      <c r="B916" s="164"/>
      <c r="C916" s="164"/>
      <c r="D916" s="164"/>
      <c r="E916" s="164"/>
      <c r="F916" s="164"/>
      <c r="G916" s="164"/>
      <c r="H916" s="164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  <c r="AB916" s="164"/>
      <c r="AC916" s="164"/>
      <c r="AD916" s="164"/>
      <c r="AE916" s="164"/>
      <c r="AF916" s="164"/>
      <c r="AG916" s="164"/>
      <c r="AH916" s="164"/>
      <c r="AI916" s="164"/>
      <c r="AJ916" s="164"/>
    </row>
    <row r="917" spans="1:36" ht="15.75" customHeight="1" x14ac:dyDescent="0.2">
      <c r="A917" s="164"/>
      <c r="B917" s="164"/>
      <c r="C917" s="164"/>
      <c r="D917" s="164"/>
      <c r="E917" s="164"/>
      <c r="F917" s="164"/>
      <c r="G917" s="164"/>
      <c r="H917" s="164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  <c r="AB917" s="164"/>
      <c r="AC917" s="164"/>
      <c r="AD917" s="164"/>
      <c r="AE917" s="164"/>
      <c r="AF917" s="164"/>
      <c r="AG917" s="164"/>
      <c r="AH917" s="164"/>
      <c r="AI917" s="164"/>
      <c r="AJ917" s="164"/>
    </row>
    <row r="918" spans="1:36" ht="15.75" customHeight="1" x14ac:dyDescent="0.2">
      <c r="A918" s="164"/>
      <c r="B918" s="164"/>
      <c r="C918" s="164"/>
      <c r="D918" s="164"/>
      <c r="E918" s="164"/>
      <c r="F918" s="164"/>
      <c r="G918" s="164"/>
      <c r="H918" s="164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  <c r="AB918" s="164"/>
      <c r="AC918" s="164"/>
      <c r="AD918" s="164"/>
      <c r="AE918" s="164"/>
      <c r="AF918" s="164"/>
      <c r="AG918" s="164"/>
      <c r="AH918" s="164"/>
      <c r="AI918" s="164"/>
      <c r="AJ918" s="164"/>
    </row>
    <row r="919" spans="1:36" ht="15.75" customHeight="1" x14ac:dyDescent="0.2">
      <c r="A919" s="164"/>
      <c r="B919" s="164"/>
      <c r="C919" s="164"/>
      <c r="D919" s="164"/>
      <c r="E919" s="164"/>
      <c r="F919" s="164"/>
      <c r="G919" s="164"/>
      <c r="H919" s="164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  <c r="AB919" s="164"/>
      <c r="AC919" s="164"/>
      <c r="AD919" s="164"/>
      <c r="AE919" s="164"/>
      <c r="AF919" s="164"/>
      <c r="AG919" s="164"/>
      <c r="AH919" s="164"/>
      <c r="AI919" s="164"/>
      <c r="AJ919" s="164"/>
    </row>
    <row r="920" spans="1:36" ht="15.75" customHeight="1" x14ac:dyDescent="0.2">
      <c r="A920" s="164"/>
      <c r="B920" s="164"/>
      <c r="C920" s="164"/>
      <c r="D920" s="164"/>
      <c r="E920" s="164"/>
      <c r="F920" s="164"/>
      <c r="G920" s="164"/>
      <c r="H920" s="164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  <c r="AB920" s="164"/>
      <c r="AC920" s="164"/>
      <c r="AD920" s="164"/>
      <c r="AE920" s="164"/>
      <c r="AF920" s="164"/>
      <c r="AG920" s="164"/>
      <c r="AH920" s="164"/>
      <c r="AI920" s="164"/>
      <c r="AJ920" s="164"/>
    </row>
    <row r="921" spans="1:36" ht="15.75" customHeight="1" x14ac:dyDescent="0.2">
      <c r="A921" s="164"/>
      <c r="B921" s="164"/>
      <c r="C921" s="164"/>
      <c r="D921" s="164"/>
      <c r="E921" s="164"/>
      <c r="F921" s="164"/>
      <c r="G921" s="164"/>
      <c r="H921" s="164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  <c r="AB921" s="164"/>
      <c r="AC921" s="164"/>
      <c r="AD921" s="164"/>
      <c r="AE921" s="164"/>
      <c r="AF921" s="164"/>
      <c r="AG921" s="164"/>
      <c r="AH921" s="164"/>
      <c r="AI921" s="164"/>
      <c r="AJ921" s="164"/>
    </row>
    <row r="922" spans="1:36" ht="15.75" customHeight="1" x14ac:dyDescent="0.2">
      <c r="A922" s="164"/>
      <c r="B922" s="164"/>
      <c r="C922" s="164"/>
      <c r="D922" s="164"/>
      <c r="E922" s="164"/>
      <c r="F922" s="164"/>
      <c r="G922" s="164"/>
      <c r="H922" s="164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  <c r="AB922" s="164"/>
      <c r="AC922" s="164"/>
      <c r="AD922" s="164"/>
      <c r="AE922" s="164"/>
      <c r="AF922" s="164"/>
      <c r="AG922" s="164"/>
      <c r="AH922" s="164"/>
      <c r="AI922" s="164"/>
      <c r="AJ922" s="164"/>
    </row>
    <row r="923" spans="1:36" ht="15.75" customHeight="1" x14ac:dyDescent="0.2">
      <c r="A923" s="164"/>
      <c r="B923" s="164"/>
      <c r="C923" s="164"/>
      <c r="D923" s="164"/>
      <c r="E923" s="164"/>
      <c r="F923" s="164"/>
      <c r="G923" s="164"/>
      <c r="H923" s="164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  <c r="AB923" s="164"/>
      <c r="AC923" s="164"/>
      <c r="AD923" s="164"/>
      <c r="AE923" s="164"/>
      <c r="AF923" s="164"/>
      <c r="AG923" s="164"/>
      <c r="AH923" s="164"/>
      <c r="AI923" s="164"/>
      <c r="AJ923" s="164"/>
    </row>
    <row r="924" spans="1:36" ht="15.75" customHeight="1" x14ac:dyDescent="0.2">
      <c r="A924" s="164"/>
      <c r="B924" s="164"/>
      <c r="C924" s="164"/>
      <c r="D924" s="164"/>
      <c r="E924" s="164"/>
      <c r="F924" s="164"/>
      <c r="G924" s="164"/>
      <c r="H924" s="164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  <c r="AB924" s="164"/>
      <c r="AC924" s="164"/>
      <c r="AD924" s="164"/>
      <c r="AE924" s="164"/>
      <c r="AF924" s="164"/>
      <c r="AG924" s="164"/>
      <c r="AH924" s="164"/>
      <c r="AI924" s="164"/>
      <c r="AJ924" s="164"/>
    </row>
    <row r="925" spans="1:36" ht="15.75" customHeight="1" x14ac:dyDescent="0.2">
      <c r="A925" s="164"/>
      <c r="B925" s="164"/>
      <c r="C925" s="164"/>
      <c r="D925" s="164"/>
      <c r="E925" s="164"/>
      <c r="F925" s="164"/>
      <c r="G925" s="164"/>
      <c r="H925" s="164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  <c r="AB925" s="164"/>
      <c r="AC925" s="164"/>
      <c r="AD925" s="164"/>
      <c r="AE925" s="164"/>
      <c r="AF925" s="164"/>
      <c r="AG925" s="164"/>
      <c r="AH925" s="164"/>
      <c r="AI925" s="164"/>
      <c r="AJ925" s="164"/>
    </row>
    <row r="926" spans="1:36" ht="15.75" customHeight="1" x14ac:dyDescent="0.2">
      <c r="A926" s="164"/>
      <c r="B926" s="164"/>
      <c r="C926" s="164"/>
      <c r="D926" s="164"/>
      <c r="E926" s="164"/>
      <c r="F926" s="164"/>
      <c r="G926" s="164"/>
      <c r="H926" s="164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  <c r="AB926" s="164"/>
      <c r="AC926" s="164"/>
      <c r="AD926" s="164"/>
      <c r="AE926" s="164"/>
      <c r="AF926" s="164"/>
      <c r="AG926" s="164"/>
      <c r="AH926" s="164"/>
      <c r="AI926" s="164"/>
      <c r="AJ926" s="164"/>
    </row>
    <row r="927" spans="1:36" ht="15.75" customHeight="1" x14ac:dyDescent="0.2">
      <c r="A927" s="164"/>
      <c r="B927" s="164"/>
      <c r="C927" s="164"/>
      <c r="D927" s="164"/>
      <c r="E927" s="164"/>
      <c r="F927" s="164"/>
      <c r="G927" s="164"/>
      <c r="H927" s="164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  <c r="AB927" s="164"/>
      <c r="AC927" s="164"/>
      <c r="AD927" s="164"/>
      <c r="AE927" s="164"/>
      <c r="AF927" s="164"/>
      <c r="AG927" s="164"/>
      <c r="AH927" s="164"/>
      <c r="AI927" s="164"/>
      <c r="AJ927" s="164"/>
    </row>
    <row r="928" spans="1:36" ht="15.75" customHeight="1" x14ac:dyDescent="0.2">
      <c r="A928" s="164"/>
      <c r="B928" s="164"/>
      <c r="C928" s="164"/>
      <c r="D928" s="164"/>
      <c r="E928" s="164"/>
      <c r="F928" s="164"/>
      <c r="G928" s="164"/>
      <c r="H928" s="164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  <c r="AB928" s="164"/>
      <c r="AC928" s="164"/>
      <c r="AD928" s="164"/>
      <c r="AE928" s="164"/>
      <c r="AF928" s="164"/>
      <c r="AG928" s="164"/>
      <c r="AH928" s="164"/>
      <c r="AI928" s="164"/>
      <c r="AJ928" s="164"/>
    </row>
    <row r="929" spans="1:36" ht="15.75" customHeight="1" x14ac:dyDescent="0.2">
      <c r="A929" s="164"/>
      <c r="B929" s="164"/>
      <c r="C929" s="164"/>
      <c r="D929" s="164"/>
      <c r="E929" s="164"/>
      <c r="F929" s="164"/>
      <c r="G929" s="164"/>
      <c r="H929" s="164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  <c r="AB929" s="164"/>
      <c r="AC929" s="164"/>
      <c r="AD929" s="164"/>
      <c r="AE929" s="164"/>
      <c r="AF929" s="164"/>
      <c r="AG929" s="164"/>
      <c r="AH929" s="164"/>
      <c r="AI929" s="164"/>
      <c r="AJ929" s="164"/>
    </row>
    <row r="930" spans="1:36" ht="15.75" customHeight="1" x14ac:dyDescent="0.2">
      <c r="A930" s="164"/>
      <c r="B930" s="164"/>
      <c r="C930" s="164"/>
      <c r="D930" s="164"/>
      <c r="E930" s="164"/>
      <c r="F930" s="164"/>
      <c r="G930" s="164"/>
      <c r="H930" s="164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  <c r="AB930" s="164"/>
      <c r="AC930" s="164"/>
      <c r="AD930" s="164"/>
      <c r="AE930" s="164"/>
      <c r="AF930" s="164"/>
      <c r="AG930" s="164"/>
      <c r="AH930" s="164"/>
      <c r="AI930" s="164"/>
      <c r="AJ930" s="164"/>
    </row>
    <row r="931" spans="1:36" ht="15.75" customHeight="1" x14ac:dyDescent="0.2">
      <c r="A931" s="164"/>
      <c r="B931" s="164"/>
      <c r="C931" s="164"/>
      <c r="D931" s="164"/>
      <c r="E931" s="164"/>
      <c r="F931" s="164"/>
      <c r="G931" s="164"/>
      <c r="H931" s="164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  <c r="AB931" s="164"/>
      <c r="AC931" s="164"/>
      <c r="AD931" s="164"/>
      <c r="AE931" s="164"/>
      <c r="AF931" s="164"/>
      <c r="AG931" s="164"/>
      <c r="AH931" s="164"/>
      <c r="AI931" s="164"/>
      <c r="AJ931" s="164"/>
    </row>
    <row r="932" spans="1:36" ht="15.75" customHeight="1" x14ac:dyDescent="0.2">
      <c r="A932" s="164"/>
      <c r="B932" s="164"/>
      <c r="C932" s="164"/>
      <c r="D932" s="164"/>
      <c r="E932" s="164"/>
      <c r="F932" s="164"/>
      <c r="G932" s="164"/>
      <c r="H932" s="164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  <c r="AB932" s="164"/>
      <c r="AC932" s="164"/>
      <c r="AD932" s="164"/>
      <c r="AE932" s="164"/>
      <c r="AF932" s="164"/>
      <c r="AG932" s="164"/>
      <c r="AH932" s="164"/>
      <c r="AI932" s="164"/>
      <c r="AJ932" s="164"/>
    </row>
    <row r="933" spans="1:36" ht="15.75" customHeight="1" x14ac:dyDescent="0.2">
      <c r="A933" s="164"/>
      <c r="B933" s="164"/>
      <c r="C933" s="164"/>
      <c r="D933" s="164"/>
      <c r="E933" s="164"/>
      <c r="F933" s="164"/>
      <c r="G933" s="164"/>
      <c r="H933" s="164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  <c r="AB933" s="164"/>
      <c r="AC933" s="164"/>
      <c r="AD933" s="164"/>
      <c r="AE933" s="164"/>
      <c r="AF933" s="164"/>
      <c r="AG933" s="164"/>
      <c r="AH933" s="164"/>
      <c r="AI933" s="164"/>
      <c r="AJ933" s="164"/>
    </row>
    <row r="934" spans="1:36" ht="15.75" customHeight="1" x14ac:dyDescent="0.2">
      <c r="A934" s="164"/>
      <c r="B934" s="164"/>
      <c r="C934" s="164"/>
      <c r="D934" s="164"/>
      <c r="E934" s="164"/>
      <c r="F934" s="164"/>
      <c r="G934" s="164"/>
      <c r="H934" s="164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  <c r="AB934" s="164"/>
      <c r="AC934" s="164"/>
      <c r="AD934" s="164"/>
      <c r="AE934" s="164"/>
      <c r="AF934" s="164"/>
      <c r="AG934" s="164"/>
      <c r="AH934" s="164"/>
      <c r="AI934" s="164"/>
      <c r="AJ934" s="164"/>
    </row>
    <row r="935" spans="1:36" ht="15.75" customHeight="1" x14ac:dyDescent="0.2">
      <c r="A935" s="164"/>
      <c r="B935" s="164"/>
      <c r="C935" s="164"/>
      <c r="D935" s="164"/>
      <c r="E935" s="164"/>
      <c r="F935" s="164"/>
      <c r="G935" s="164"/>
      <c r="H935" s="164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  <c r="AB935" s="164"/>
      <c r="AC935" s="164"/>
      <c r="AD935" s="164"/>
      <c r="AE935" s="164"/>
      <c r="AF935" s="164"/>
      <c r="AG935" s="164"/>
      <c r="AH935" s="164"/>
      <c r="AI935" s="164"/>
      <c r="AJ935" s="164"/>
    </row>
    <row r="936" spans="1:36" ht="15.75" customHeight="1" x14ac:dyDescent="0.2">
      <c r="A936" s="164"/>
      <c r="B936" s="164"/>
      <c r="C936" s="164"/>
      <c r="D936" s="164"/>
      <c r="E936" s="164"/>
      <c r="F936" s="164"/>
      <c r="G936" s="164"/>
      <c r="H936" s="164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  <c r="AB936" s="164"/>
      <c r="AC936" s="164"/>
      <c r="AD936" s="164"/>
      <c r="AE936" s="164"/>
      <c r="AF936" s="164"/>
      <c r="AG936" s="164"/>
      <c r="AH936" s="164"/>
      <c r="AI936" s="164"/>
      <c r="AJ936" s="164"/>
    </row>
    <row r="937" spans="1:36" ht="15.75" customHeight="1" x14ac:dyDescent="0.2">
      <c r="A937" s="164"/>
      <c r="B937" s="164"/>
      <c r="C937" s="164"/>
      <c r="D937" s="164"/>
      <c r="E937" s="164"/>
      <c r="F937" s="164"/>
      <c r="G937" s="164"/>
      <c r="H937" s="164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  <c r="AB937" s="164"/>
      <c r="AC937" s="164"/>
      <c r="AD937" s="164"/>
      <c r="AE937" s="164"/>
      <c r="AF937" s="164"/>
      <c r="AG937" s="164"/>
      <c r="AH937" s="164"/>
      <c r="AI937" s="164"/>
      <c r="AJ937" s="164"/>
    </row>
    <row r="938" spans="1:36" ht="15.75" customHeight="1" x14ac:dyDescent="0.2">
      <c r="A938" s="164"/>
      <c r="B938" s="164"/>
      <c r="C938" s="164"/>
      <c r="D938" s="164"/>
      <c r="E938" s="164"/>
      <c r="F938" s="164"/>
      <c r="G938" s="164"/>
      <c r="H938" s="164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  <c r="AB938" s="164"/>
      <c r="AC938" s="164"/>
      <c r="AD938" s="164"/>
      <c r="AE938" s="164"/>
      <c r="AF938" s="164"/>
      <c r="AG938" s="164"/>
      <c r="AH938" s="164"/>
      <c r="AI938" s="164"/>
      <c r="AJ938" s="164"/>
    </row>
    <row r="939" spans="1:36" ht="15.75" customHeight="1" x14ac:dyDescent="0.2">
      <c r="A939" s="164"/>
      <c r="B939" s="164"/>
      <c r="C939" s="164"/>
      <c r="D939" s="164"/>
      <c r="E939" s="164"/>
      <c r="F939" s="164"/>
      <c r="G939" s="164"/>
      <c r="H939" s="164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  <c r="AB939" s="164"/>
      <c r="AC939" s="164"/>
      <c r="AD939" s="164"/>
      <c r="AE939" s="164"/>
      <c r="AF939" s="164"/>
      <c r="AG939" s="164"/>
      <c r="AH939" s="164"/>
      <c r="AI939" s="164"/>
      <c r="AJ939" s="164"/>
    </row>
    <row r="940" spans="1:36" ht="15.75" customHeight="1" x14ac:dyDescent="0.2">
      <c r="A940" s="164"/>
      <c r="B940" s="164"/>
      <c r="C940" s="164"/>
      <c r="D940" s="164"/>
      <c r="E940" s="164"/>
      <c r="F940" s="164"/>
      <c r="G940" s="164"/>
      <c r="H940" s="164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  <c r="AB940" s="164"/>
      <c r="AC940" s="164"/>
      <c r="AD940" s="164"/>
      <c r="AE940" s="164"/>
      <c r="AF940" s="164"/>
      <c r="AG940" s="164"/>
      <c r="AH940" s="164"/>
      <c r="AI940" s="164"/>
      <c r="AJ940" s="164"/>
    </row>
    <row r="941" spans="1:36" ht="15.75" customHeight="1" x14ac:dyDescent="0.2">
      <c r="A941" s="164"/>
      <c r="B941" s="164"/>
      <c r="C941" s="164"/>
      <c r="D941" s="164"/>
      <c r="E941" s="164"/>
      <c r="F941" s="164"/>
      <c r="G941" s="164"/>
      <c r="H941" s="164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  <c r="AB941" s="164"/>
      <c r="AC941" s="164"/>
      <c r="AD941" s="164"/>
      <c r="AE941" s="164"/>
      <c r="AF941" s="164"/>
      <c r="AG941" s="164"/>
      <c r="AH941" s="164"/>
      <c r="AI941" s="164"/>
      <c r="AJ941" s="164"/>
    </row>
    <row r="942" spans="1:36" ht="15.75" customHeight="1" x14ac:dyDescent="0.2">
      <c r="A942" s="164"/>
      <c r="B942" s="164"/>
      <c r="C942" s="164"/>
      <c r="D942" s="164"/>
      <c r="E942" s="164"/>
      <c r="F942" s="164"/>
      <c r="G942" s="164"/>
      <c r="H942" s="164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  <c r="AB942" s="164"/>
      <c r="AC942" s="164"/>
      <c r="AD942" s="164"/>
      <c r="AE942" s="164"/>
      <c r="AF942" s="164"/>
      <c r="AG942" s="164"/>
      <c r="AH942" s="164"/>
      <c r="AI942" s="164"/>
      <c r="AJ942" s="164"/>
    </row>
    <row r="943" spans="1:36" ht="15.75" customHeight="1" x14ac:dyDescent="0.2">
      <c r="A943" s="164"/>
      <c r="B943" s="164"/>
      <c r="C943" s="164"/>
      <c r="D943" s="164"/>
      <c r="E943" s="164"/>
      <c r="F943" s="164"/>
      <c r="G943" s="164"/>
      <c r="H943" s="164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</row>
    <row r="944" spans="1:36" ht="15.75" customHeight="1" x14ac:dyDescent="0.2">
      <c r="A944" s="164"/>
      <c r="B944" s="164"/>
      <c r="C944" s="164"/>
      <c r="D944" s="164"/>
      <c r="E944" s="164"/>
      <c r="F944" s="164"/>
      <c r="G944" s="164"/>
      <c r="H944" s="164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</row>
    <row r="945" spans="1:36" ht="15.75" customHeight="1" x14ac:dyDescent="0.2">
      <c r="A945" s="164"/>
      <c r="B945" s="164"/>
      <c r="C945" s="164"/>
      <c r="D945" s="164"/>
      <c r="E945" s="164"/>
      <c r="F945" s="164"/>
      <c r="G945" s="164"/>
      <c r="H945" s="164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</row>
    <row r="946" spans="1:36" ht="15.75" customHeight="1" x14ac:dyDescent="0.2">
      <c r="A946" s="164"/>
      <c r="B946" s="164"/>
      <c r="C946" s="164"/>
      <c r="D946" s="164"/>
      <c r="E946" s="164"/>
      <c r="F946" s="164"/>
      <c r="G946" s="164"/>
      <c r="H946" s="164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</row>
    <row r="947" spans="1:36" ht="15.75" customHeight="1" x14ac:dyDescent="0.2">
      <c r="A947" s="164"/>
      <c r="B947" s="164"/>
      <c r="C947" s="164"/>
      <c r="D947" s="164"/>
      <c r="E947" s="164"/>
      <c r="F947" s="164"/>
      <c r="G947" s="164"/>
      <c r="H947" s="164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</row>
    <row r="948" spans="1:36" ht="15.75" customHeight="1" x14ac:dyDescent="0.2">
      <c r="A948" s="164"/>
      <c r="B948" s="164"/>
      <c r="C948" s="164"/>
      <c r="D948" s="164"/>
      <c r="E948" s="164"/>
      <c r="F948" s="164"/>
      <c r="G948" s="164"/>
      <c r="H948" s="164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</row>
    <row r="949" spans="1:36" ht="15.75" customHeight="1" x14ac:dyDescent="0.2">
      <c r="A949" s="164"/>
      <c r="B949" s="164"/>
      <c r="C949" s="164"/>
      <c r="D949" s="164"/>
      <c r="E949" s="164"/>
      <c r="F949" s="164"/>
      <c r="G949" s="164"/>
      <c r="H949" s="164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</row>
    <row r="950" spans="1:36" ht="15.75" customHeight="1" x14ac:dyDescent="0.2">
      <c r="A950" s="164"/>
      <c r="B950" s="164"/>
      <c r="C950" s="164"/>
      <c r="D950" s="164"/>
      <c r="E950" s="164"/>
      <c r="F950" s="164"/>
      <c r="G950" s="164"/>
      <c r="H950" s="164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</row>
    <row r="951" spans="1:36" ht="15.75" customHeight="1" x14ac:dyDescent="0.2">
      <c r="A951" s="164"/>
      <c r="B951" s="164"/>
      <c r="C951" s="164"/>
      <c r="D951" s="164"/>
      <c r="E951" s="164"/>
      <c r="F951" s="164"/>
      <c r="G951" s="164"/>
      <c r="H951" s="164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</row>
    <row r="952" spans="1:36" ht="15.75" customHeight="1" x14ac:dyDescent="0.2">
      <c r="A952" s="164"/>
      <c r="B952" s="164"/>
      <c r="C952" s="164"/>
      <c r="D952" s="164"/>
      <c r="E952" s="164"/>
      <c r="F952" s="164"/>
      <c r="G952" s="164"/>
      <c r="H952" s="164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</row>
  </sheetData>
  <mergeCells count="15">
    <mergeCell ref="B2:G2"/>
    <mergeCell ref="X11:Y11"/>
    <mergeCell ref="B41:F41"/>
    <mergeCell ref="I41:M41"/>
    <mergeCell ref="I55:M55"/>
    <mergeCell ref="B26:C26"/>
    <mergeCell ref="I26:J26"/>
    <mergeCell ref="B55:F55"/>
    <mergeCell ref="B5:D5"/>
    <mergeCell ref="I5:J5"/>
    <mergeCell ref="C6:D6"/>
    <mergeCell ref="C7:D7"/>
    <mergeCell ref="C8:D8"/>
    <mergeCell ref="B11:F11"/>
    <mergeCell ref="I11:M11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8A157FF-4A11-4644-8070-4271757D3FD3}">
          <x14:formula1>
            <xm:f>'Input keuzevariabelen'!$D$11:$D$21</xm:f>
          </x14:formula1>
          <xm:sqref>C7:D7</xm:sqref>
        </x14:dataValidation>
        <x14:dataValidation type="list" allowBlank="1" showErrorMessage="1" xr:uid="{8311FC02-0281-4C46-BEFA-6B5F2FCD0015}">
          <x14:formula1>
            <xm:f>'Input keuzevariabelen'!$D$11:$D$18</xm:f>
          </x14:formula1>
          <xm:sqref>J8</xm:sqref>
        </x14:dataValidation>
        <x14:dataValidation type="list" allowBlank="1" showInputMessage="1" showErrorMessage="1" xr:uid="{E30617D6-43E0-2B48-AFF0-01DD2BB7B7E0}">
          <x14:formula1>
            <xm:f>'Input keuzevariabelen'!$E$11:$E$12</xm:f>
          </x14:formula1>
          <xm:sqref>C8:D8 J9</xm:sqref>
        </x14:dataValidation>
        <x14:dataValidation type="list" allowBlank="1" showInputMessage="1" showErrorMessage="1" xr:uid="{8986BE51-7B2F-AB4A-9A7B-9658F7A70ECB}">
          <x14:formula1>
            <xm:f>'Input keuzevariabelen'!$B$11:$B$21</xm:f>
          </x14:formula1>
          <xm:sqref>J7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B9935-B0D9-4749-BB64-CA620C1380E0}">
  <dimension ref="A1:AI31"/>
  <sheetViews>
    <sheetView showGridLines="0" tabSelected="1" zoomScale="121" zoomScaleNormal="121" workbookViewId="0">
      <selection activeCell="E7" sqref="E7"/>
    </sheetView>
    <sheetView topLeftCell="A5" workbookViewId="1"/>
  </sheetViews>
  <sheetFormatPr defaultColWidth="8.625" defaultRowHeight="15" x14ac:dyDescent="0.2"/>
  <cols>
    <col min="1" max="1" width="8.625" style="160"/>
    <col min="2" max="2" width="31.875" style="160" customWidth="1"/>
    <col min="3" max="3" width="11.875" style="160" customWidth="1"/>
    <col min="4" max="4" width="12.125" style="160" customWidth="1"/>
    <col min="5" max="5" width="13" style="160" customWidth="1"/>
    <col min="6" max="6" width="16" style="160" customWidth="1"/>
    <col min="7" max="21" width="8.625" style="160"/>
    <col min="22" max="22" width="28.5" style="160" customWidth="1"/>
    <col min="23" max="23" width="13.125" style="160" customWidth="1"/>
    <col min="24" max="25" width="14.125" style="160" customWidth="1"/>
    <col min="26" max="26" width="13.5" style="160" customWidth="1"/>
    <col min="27" max="16384" width="8.625" style="160"/>
  </cols>
  <sheetData>
    <row r="1" spans="1:35" s="2" customFormat="1" ht="49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s="2" customFormat="1" ht="49.5" customHeight="1" x14ac:dyDescent="0.2">
      <c r="A2" s="1"/>
      <c r="B2" s="339" t="s">
        <v>112</v>
      </c>
      <c r="C2" s="339"/>
      <c r="D2" s="339"/>
      <c r="E2" s="339"/>
      <c r="F2" s="339"/>
      <c r="G2" s="339"/>
      <c r="H2" s="339"/>
      <c r="I2" s="339"/>
      <c r="J2" s="339"/>
      <c r="K2" s="339"/>
      <c r="L2" s="277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1"/>
      <c r="AE2" s="1"/>
      <c r="AF2" s="1"/>
      <c r="AG2" s="1"/>
      <c r="AH2" s="1"/>
      <c r="AI2" s="1"/>
    </row>
    <row r="3" spans="1:35" ht="15.75" thickBot="1" x14ac:dyDescent="0.25"/>
    <row r="4" spans="1:35" ht="16.5" thickTop="1" thickBot="1" x14ac:dyDescent="0.25">
      <c r="B4" s="353" t="s">
        <v>113</v>
      </c>
      <c r="C4" s="354"/>
      <c r="D4" s="354"/>
      <c r="E4" s="354"/>
      <c r="F4" s="354"/>
      <c r="G4" s="354"/>
      <c r="H4" s="354"/>
      <c r="I4" s="354"/>
      <c r="V4" s="353" t="s">
        <v>114</v>
      </c>
      <c r="W4" s="354"/>
      <c r="X4" s="354"/>
      <c r="Y4" s="354"/>
      <c r="Z4" s="354"/>
      <c r="AA4" s="354"/>
      <c r="AB4" s="354"/>
      <c r="AC4" s="354"/>
    </row>
    <row r="5" spans="1:35" ht="16.5" thickTop="1" thickBot="1" x14ac:dyDescent="0.25">
      <c r="B5" s="57" t="s">
        <v>115</v>
      </c>
      <c r="C5" s="55">
        <f>'Input keuzevariabelen'!$D$11</f>
        <v>2019</v>
      </c>
      <c r="D5" s="57">
        <f>C5+1</f>
        <v>2020</v>
      </c>
      <c r="E5" s="55">
        <f>D5+1</f>
        <v>2021</v>
      </c>
      <c r="F5" s="57">
        <f t="shared" ref="F5" si="0">E5+1</f>
        <v>2022</v>
      </c>
      <c r="G5" s="55">
        <f t="shared" ref="G5" si="1">F5+1</f>
        <v>2023</v>
      </c>
      <c r="H5" s="57">
        <f t="shared" ref="H5" si="2">G5+1</f>
        <v>2024</v>
      </c>
      <c r="I5" s="55">
        <f t="shared" ref="I5" si="3">H5+1</f>
        <v>2025</v>
      </c>
      <c r="V5" s="57" t="s">
        <v>115</v>
      </c>
      <c r="W5" s="55">
        <f>'Input keuzevariabelen'!$D$11</f>
        <v>2019</v>
      </c>
      <c r="X5" s="57">
        <f>W5+1</f>
        <v>2020</v>
      </c>
      <c r="Y5" s="55">
        <f>X5+1</f>
        <v>2021</v>
      </c>
      <c r="Z5" s="57">
        <f t="shared" ref="Z5" si="4">Y5+1</f>
        <v>2022</v>
      </c>
      <c r="AA5" s="55">
        <f t="shared" ref="AA5" si="5">Z5+1</f>
        <v>2023</v>
      </c>
      <c r="AB5" s="57">
        <f t="shared" ref="AB5" si="6">AA5+1</f>
        <v>2024</v>
      </c>
      <c r="AC5" s="55">
        <f t="shared" ref="AC5" si="7">AB5+1</f>
        <v>2025</v>
      </c>
    </row>
    <row r="6" spans="1:35" ht="16.5" thickTop="1" thickBot="1" x14ac:dyDescent="0.25">
      <c r="B6" s="57"/>
      <c r="C6" s="377" t="s">
        <v>13</v>
      </c>
      <c r="D6" s="378"/>
      <c r="E6" s="378"/>
      <c r="F6" s="378"/>
      <c r="G6" s="378"/>
      <c r="H6" s="378"/>
      <c r="I6" s="379"/>
      <c r="V6" s="57"/>
      <c r="W6" s="377" t="s">
        <v>13</v>
      </c>
      <c r="X6" s="378"/>
      <c r="Y6" s="378"/>
      <c r="Z6" s="378"/>
      <c r="AA6" s="378"/>
      <c r="AB6" s="378"/>
      <c r="AC6" s="379"/>
    </row>
    <row r="7" spans="1:35" ht="16.5" thickTop="1" thickBot="1" x14ac:dyDescent="0.25">
      <c r="B7" s="324" t="s">
        <v>116</v>
      </c>
      <c r="C7" s="51">
        <f>SUMIFS(Data!$J:$J,Data!$H:$H,"Aardgasverbruik",Data!$Q:$Q,$B7,Data!$E:$E,C$5,Data!$F:$F,$C$6)</f>
        <v>2662</v>
      </c>
      <c r="D7" s="51">
        <f>SUMIFS(Data!$J:$J,Data!$H:$H,"Aardgasverbruik",Data!$Q:$Q,$B7,Data!$E:$E,D$5,Data!$F:$F,$C$6)</f>
        <v>11050</v>
      </c>
      <c r="E7" s="51">
        <f>SUMIFS(Data!$J:$J,Data!$H:$H,"Aardgasverbruik",Data!$Q:$Q,$B7,Data!$E:$E,E$5,Data!$F:$F,$C$6)</f>
        <v>10389</v>
      </c>
      <c r="F7" s="51">
        <f>SUMIFS(Data!$J:$J,Data!$H:$H,"Aardgasverbruik",Data!$Q:$Q,$B7,Data!$E:$E,F$5,Data!$F:$F,$C$6)</f>
        <v>25337</v>
      </c>
      <c r="G7" s="51">
        <f>SUMIFS(Data!$J:$J,Data!$H:$H,"Aardgasverbruik",Data!$Q:$Q,$B7,Data!$E:$E,G$5,Data!$F:$F,$C$6)</f>
        <v>0</v>
      </c>
      <c r="H7" s="51">
        <f>SUMIFS(Data!$J:$J,Data!$H:$H,"Aardgasverbruik",Data!$Q:$Q,$B7,Data!$E:$E,H$5,Data!$F:$F,$C$6)</f>
        <v>0</v>
      </c>
      <c r="I7" s="51">
        <f>SUMIFS(Data!$J:$J,Data!$H:$H,"Aardgasverbruik",Data!$Q:$Q,$B7,Data!$E:$E,I$5,Data!$F:$F,$C$6)</f>
        <v>0</v>
      </c>
      <c r="V7" s="50" t="s">
        <v>116</v>
      </c>
      <c r="W7" s="51">
        <f>SUMIFS(Data!$J:$J,Data!$H:$H,"Elektriciteitsverbruik - gr*",Data!$Q:$Q,$V7,Data!$E:$E,W$5,Data!$F:$F,$W$6)</f>
        <v>1946765</v>
      </c>
      <c r="X7" s="51">
        <f>SUMIFS(Data!$J:$J,Data!$H:$H,"Elektriciteitsverbruik - gr*",Data!$Q:$Q,$V7,Data!$E:$E,X$5,Data!$F:$F,$W$6)</f>
        <v>2451325</v>
      </c>
      <c r="Y7" s="51">
        <f>SUMIFS(Data!$J:$J,Data!$H:$H,"Elektriciteitsverbruik - gr*",Data!$Q:$Q,$V7,Data!$E:$E,Y$5,Data!$F:$F,$W$6)</f>
        <v>2245773</v>
      </c>
      <c r="Z7" s="51">
        <f>SUMIFS(Data!$J:$J,Data!$H:$H,"Elektriciteitsverbruik - gr*",Data!$Q:$Q,$V7,Data!$E:$E,Z$5,Data!$F:$F,$W$6)</f>
        <v>2891445</v>
      </c>
      <c r="AA7" s="51">
        <f>SUMIFS(Data!$J:$J,Data!$H:$H,"Elektriciteitsverbruik - gr*",Data!$Q:$Q,$V7,Data!$E:$E,AA$5,Data!$F:$F,$W$6)</f>
        <v>0</v>
      </c>
      <c r="AB7" s="51">
        <f>SUMIFS(Data!$J:$J,Data!$H:$H,"Elektriciteitsverbruik - gr*",Data!$Q:$Q,$V7,Data!$E:$E,AB$5,Data!$F:$F,$W$6)</f>
        <v>0</v>
      </c>
      <c r="AC7" s="51">
        <f>SUMIFS(Data!$J:$J,Data!$H:$H,"Elektriciteitsverbruik - gr*",Data!$Q:$Q,$V7,Data!$E:$E,AC$5,Data!$F:$F,$W$6)</f>
        <v>0</v>
      </c>
    </row>
    <row r="8" spans="1:35" ht="16.5" thickTop="1" thickBot="1" x14ac:dyDescent="0.25">
      <c r="B8" s="324" t="s">
        <v>117</v>
      </c>
      <c r="C8" s="51">
        <f>SUMIFS(Data!$J:$J,Data!$H:$H,"Aardgasverbruik",Data!$Q:$Q,$B8,Data!$E:$E,C$5,Data!$F:$F,$C$6)</f>
        <v>9335</v>
      </c>
      <c r="D8" s="51">
        <f>SUMIFS(Data!$J:$J,Data!$H:$H,"Aardgasverbruik",Data!$Q:$Q,$B8,Data!$E:$E,D$5,Data!$F:$F,$C$6)</f>
        <v>40029</v>
      </c>
      <c r="E8" s="51">
        <f>SUMIFS(Data!$J:$J,Data!$H:$H,"Aardgasverbruik",Data!$Q:$Q,$B8,Data!$E:$E,E$5,Data!$F:$F,$C$6)</f>
        <v>482075</v>
      </c>
      <c r="F8" s="51">
        <f>SUMIFS(Data!$J:$J,Data!$H:$H,"Aardgasverbruik",Data!$Q:$Q,$B8,Data!$E:$E,F$5,Data!$F:$F,$C$6)</f>
        <v>92909</v>
      </c>
      <c r="G8" s="51">
        <f>SUMIFS(Data!$J:$J,Data!$H:$H,"Aardgasverbruik",Data!$Q:$Q,$B8,Data!$E:$E,G$5,Data!$F:$F,$C$6)</f>
        <v>0</v>
      </c>
      <c r="H8" s="51">
        <f>SUMIFS(Data!$J:$J,Data!$H:$H,"Aardgasverbruik",Data!$Q:$Q,$B8,Data!$E:$E,H$5,Data!$F:$F,$C$6)</f>
        <v>0</v>
      </c>
      <c r="I8" s="51">
        <f>SUMIFS(Data!$J:$J,Data!$H:$H,"Aardgasverbruik",Data!$Q:$Q,$B8,Data!$E:$E,I$5,Data!$F:$F,$C$6)</f>
        <v>0</v>
      </c>
      <c r="V8" s="50" t="s">
        <v>117</v>
      </c>
      <c r="W8" s="51">
        <f>SUMIFS(Data!$J:$J,Data!$H:$H,"Elektriciteitsverbruik - gr*",Data!$Q:$Q,$V8,Data!$E:$E,W$5,Data!$F:$F,$W$6)</f>
        <v>9625157</v>
      </c>
      <c r="X8" s="51">
        <f>SUMIFS(Data!$J:$J,Data!$H:$H,"Elektriciteitsverbruik - gr*",Data!$Q:$Q,$V8,Data!$E:$E,X$5,Data!$F:$F,$W$6)</f>
        <v>9641890</v>
      </c>
      <c r="Y8" s="51">
        <f>SUMIFS(Data!$J:$J,Data!$H:$H,"Elektriciteitsverbruik - gr*",Data!$Q:$Q,$V8,Data!$E:$E,Y$5,Data!$F:$F,$W$6)</f>
        <v>15271504</v>
      </c>
      <c r="Z8" s="51">
        <f>SUMIFS(Data!$J:$J,Data!$H:$H,"Elektriciteitsverbruik - gr*",Data!$Q:$Q,$V8,Data!$E:$E,Z$5,Data!$F:$F,$W$6)</f>
        <v>16675596</v>
      </c>
      <c r="AA8" s="51">
        <f>SUMIFS(Data!$J:$J,Data!$H:$H,"Elektriciteitsverbruik - gr*",Data!$Q:$Q,$V8,Data!$E:$E,AA$5,Data!$F:$F,$W$6)</f>
        <v>0</v>
      </c>
      <c r="AB8" s="51">
        <f>SUMIFS(Data!$J:$J,Data!$H:$H,"Elektriciteitsverbruik - gr*",Data!$Q:$Q,$V8,Data!$E:$E,AB$5,Data!$F:$F,$W$6)</f>
        <v>0</v>
      </c>
      <c r="AC8" s="51">
        <f>SUMIFS(Data!$J:$J,Data!$H:$H,"Elektriciteitsverbruik - gr*",Data!$Q:$Q,$V8,Data!$E:$E,AC$5,Data!$F:$F,$W$6)</f>
        <v>0</v>
      </c>
    </row>
    <row r="9" spans="1:35" ht="16.5" thickTop="1" thickBot="1" x14ac:dyDescent="0.25">
      <c r="B9" s="324" t="s">
        <v>118</v>
      </c>
      <c r="C9" s="51">
        <f>SUMIFS(Data!$J:$J,Data!$H:$H,"Aardgasverbruik",Data!$Q:$Q,$B9,Data!$E:$E,C$5,Data!$F:$F,$C$6)</f>
        <v>423364</v>
      </c>
      <c r="D9" s="51">
        <f>SUMIFS(Data!$J:$J,Data!$H:$H,"Aardgasverbruik",Data!$Q:$Q,$B9,Data!$E:$E,D$5,Data!$F:$F,$C$6)</f>
        <v>447554</v>
      </c>
      <c r="E9" s="51">
        <f>SUMIFS(Data!$J:$J,Data!$H:$H,"Aardgasverbruik",Data!$Q:$Q,$B9,Data!$E:$E,E$5,Data!$F:$F,$C$6)</f>
        <v>421887</v>
      </c>
      <c r="F9" s="51">
        <f>SUMIFS(Data!$J:$J,Data!$H:$H,"Aardgasverbruik",Data!$Q:$Q,$B9,Data!$E:$E,F$5,Data!$F:$F,$C$6)</f>
        <v>477403</v>
      </c>
      <c r="G9" s="51">
        <f>SUMIFS(Data!$J:$J,Data!$H:$H,"Aardgasverbruik",Data!$Q:$Q,$B9,Data!$E:$E,G$5,Data!$F:$F,$C$6)</f>
        <v>0</v>
      </c>
      <c r="H9" s="51">
        <f>SUMIFS(Data!$J:$J,Data!$H:$H,"Aardgasverbruik",Data!$Q:$Q,$B9,Data!$E:$E,H$5,Data!$F:$F,$C$6)</f>
        <v>0</v>
      </c>
      <c r="I9" s="51">
        <f>SUMIFS(Data!$J:$J,Data!$H:$H,"Aardgasverbruik",Data!$Q:$Q,$B9,Data!$E:$E,I$5,Data!$F:$F,$C$6)</f>
        <v>0</v>
      </c>
      <c r="V9" s="50" t="s">
        <v>118</v>
      </c>
      <c r="W9" s="51">
        <f>SUMIFS(Data!$J:$J,Data!$H:$H,"Elektriciteitsverbruik - gr*",Data!$Q:$Q,$V9,Data!$E:$E,W$5,Data!$F:$F,$W$6)</f>
        <v>9746444</v>
      </c>
      <c r="X9" s="51">
        <f>SUMIFS(Data!$J:$J,Data!$H:$H,"Elektriciteitsverbruik - gr*",Data!$Q:$Q,$V9,Data!$E:$E,X$5,Data!$F:$F,$W$6)</f>
        <v>8914312</v>
      </c>
      <c r="Y9" s="51">
        <f>SUMIFS(Data!$J:$J,Data!$H:$H,"Elektriciteitsverbruik - gr*",Data!$Q:$Q,$V9,Data!$E:$E,Y$5,Data!$F:$F,$W$6)</f>
        <v>8695438</v>
      </c>
      <c r="Z9" s="51">
        <f>SUMIFS(Data!$J:$J,Data!$H:$H,"Elektriciteitsverbruik - gr*",Data!$Q:$Q,$V9,Data!$E:$E,Z$5,Data!$F:$F,$W$6)</f>
        <v>8796775</v>
      </c>
      <c r="AA9" s="51">
        <f>SUMIFS(Data!$J:$J,Data!$H:$H,"Elektriciteitsverbruik - gr*",Data!$Q:$Q,$V9,Data!$E:$E,AA$5,Data!$F:$F,$W$6)</f>
        <v>0</v>
      </c>
      <c r="AB9" s="51">
        <f>SUMIFS(Data!$J:$J,Data!$H:$H,"Elektriciteitsverbruik - gr*",Data!$Q:$Q,$V9,Data!$E:$E,AB$5,Data!$F:$F,$W$6)</f>
        <v>0</v>
      </c>
      <c r="AC9" s="51">
        <f>SUMIFS(Data!$J:$J,Data!$H:$H,"Elektriciteitsverbruik - gr*",Data!$Q:$Q,$V9,Data!$E:$E,AC$5,Data!$F:$F,$W$6)</f>
        <v>0</v>
      </c>
    </row>
    <row r="10" spans="1:35" ht="16.5" thickTop="1" thickBot="1" x14ac:dyDescent="0.25">
      <c r="B10" s="324" t="s">
        <v>119</v>
      </c>
      <c r="C10" s="51">
        <f>SUMIFS(Data!$J:$J,Data!$H:$H,"Aardgasverbruik",Data!$Q:$Q,$B10,Data!$E:$E,C$5,Data!$F:$F,$C$6)</f>
        <v>327133</v>
      </c>
      <c r="D10" s="51">
        <f>SUMIFS(Data!$J:$J,Data!$H:$H,"Aardgasverbruik",Data!$Q:$Q,$B10,Data!$E:$E,D$5,Data!$F:$F,$C$6)</f>
        <v>924165</v>
      </c>
      <c r="E10" s="51">
        <f>SUMIFS(Data!$J:$J,Data!$H:$H,"Aardgasverbruik",Data!$Q:$Q,$B10,Data!$E:$E,E$5,Data!$F:$F,$C$6)</f>
        <v>1028829</v>
      </c>
      <c r="F10" s="51">
        <f>SUMIFS(Data!$J:$J,Data!$H:$H,"Aardgasverbruik",Data!$Q:$Q,$B10,Data!$E:$E,F$5,Data!$F:$F,$C$6)</f>
        <v>953581</v>
      </c>
      <c r="G10" s="51">
        <f>SUMIFS(Data!$J:$J,Data!$H:$H,"Aardgasverbruik",Data!$Q:$Q,$B10,Data!$E:$E,G$5,Data!$F:$F,$C$6)</f>
        <v>0</v>
      </c>
      <c r="H10" s="51">
        <f>SUMIFS(Data!$J:$J,Data!$H:$H,"Aardgasverbruik",Data!$Q:$Q,$B10,Data!$E:$E,H$5,Data!$F:$F,$C$6)</f>
        <v>0</v>
      </c>
      <c r="I10" s="51">
        <f>SUMIFS(Data!$J:$J,Data!$H:$H,"Aardgasverbruik",Data!$Q:$Q,$B10,Data!$E:$E,I$5,Data!$F:$F,$C$6)</f>
        <v>0</v>
      </c>
      <c r="V10" s="50" t="s">
        <v>119</v>
      </c>
      <c r="W10" s="51">
        <f>SUMIFS(Data!$J:$J,Data!$H:$H,"Elektriciteitsverbruik - gr*",Data!$Q:$Q,$V10,Data!$E:$E,W$5,Data!$F:$F,$W$6)</f>
        <v>24116233</v>
      </c>
      <c r="X10" s="51">
        <f>SUMIFS(Data!$J:$J,Data!$H:$H,"Elektriciteitsverbruik - gr*",Data!$Q:$Q,$V10,Data!$E:$E,X$5,Data!$F:$F,$W$6)</f>
        <v>36226744</v>
      </c>
      <c r="Y10" s="51">
        <f>SUMIFS(Data!$J:$J,Data!$H:$H,"Elektriciteitsverbruik - gr*",Data!$Q:$Q,$V10,Data!$E:$E,Y$5,Data!$F:$F,$W$6)</f>
        <v>37075339</v>
      </c>
      <c r="Z10" s="51">
        <f>SUMIFS(Data!$J:$J,Data!$H:$H,"Elektriciteitsverbruik - gr*",Data!$Q:$Q,$V10,Data!$E:$E,Z$5,Data!$F:$F,$W$6)</f>
        <v>36645467</v>
      </c>
      <c r="AA10" s="51">
        <f>SUMIFS(Data!$J:$J,Data!$H:$H,"Elektriciteitsverbruik - gr*",Data!$Q:$Q,$V10,Data!$E:$E,AA$5,Data!$F:$F,$W$6)</f>
        <v>0</v>
      </c>
      <c r="AB10" s="51">
        <f>SUMIFS(Data!$J:$J,Data!$H:$H,"Elektriciteitsverbruik - gr*",Data!$Q:$Q,$V10,Data!$E:$E,AB$5,Data!$F:$F,$W$6)</f>
        <v>0</v>
      </c>
      <c r="AC10" s="51">
        <f>SUMIFS(Data!$J:$J,Data!$H:$H,"Elektriciteitsverbruik - gr*",Data!$Q:$Q,$V10,Data!$E:$E,AC$5,Data!$F:$F,$W$6)</f>
        <v>0</v>
      </c>
    </row>
    <row r="11" spans="1:35" ht="16.5" thickTop="1" thickBot="1" x14ac:dyDescent="0.25">
      <c r="B11" s="324" t="s">
        <v>120</v>
      </c>
      <c r="C11" s="51">
        <f>SUMIFS(Data!$J:$J,Data!$H:$H,"Aardgasverbruik",Data!$Q:$Q,$B11,Data!$E:$E,C$5,Data!$F:$F,$C$6)</f>
        <v>32036</v>
      </c>
      <c r="D11" s="51">
        <f>SUMIFS(Data!$J:$J,Data!$H:$H,"Aardgasverbruik",Data!$Q:$Q,$B11,Data!$E:$E,D$5,Data!$F:$F,$C$6)</f>
        <v>19840</v>
      </c>
      <c r="E11" s="51">
        <f>SUMIFS(Data!$J:$J,Data!$H:$H,"Aardgasverbruik",Data!$Q:$Q,$B11,Data!$E:$E,E$5,Data!$F:$F,$C$6)</f>
        <v>16562</v>
      </c>
      <c r="F11" s="51">
        <f>SUMIFS(Data!$J:$J,Data!$H:$H,"Aardgasverbruik",Data!$Q:$Q,$B11,Data!$E:$E,F$5,Data!$F:$F,$C$6)</f>
        <v>7183</v>
      </c>
      <c r="G11" s="51">
        <f>SUMIFS(Data!$J:$J,Data!$H:$H,"Aardgasverbruik",Data!$Q:$Q,$B11,Data!$E:$E,G$5,Data!$F:$F,$C$6)</f>
        <v>0</v>
      </c>
      <c r="H11" s="51">
        <f>SUMIFS(Data!$J:$J,Data!$H:$H,"Aardgasverbruik",Data!$Q:$Q,$B11,Data!$E:$E,H$5,Data!$F:$F,$C$6)</f>
        <v>0</v>
      </c>
      <c r="I11" s="51">
        <f>SUMIFS(Data!$J:$J,Data!$H:$H,"Aardgasverbruik",Data!$Q:$Q,$B11,Data!$E:$E,I$5,Data!$F:$F,$C$6)</f>
        <v>0</v>
      </c>
      <c r="V11" s="50" t="s">
        <v>120</v>
      </c>
      <c r="W11" s="51">
        <f>SUMIFS(Data!$J:$J,Data!$H:$H,"Elektriciteitsverbruik - gr*",Data!$Q:$Q,$V11,Data!$E:$E,W$5,Data!$F:$F,$W$6)</f>
        <v>5406947</v>
      </c>
      <c r="X11" s="51">
        <f>SUMIFS(Data!$J:$J,Data!$H:$H,"Elektriciteitsverbruik - gr*",Data!$Q:$Q,$V11,Data!$E:$E,X$5,Data!$F:$F,$W$6)</f>
        <v>6160827</v>
      </c>
      <c r="Y11" s="51">
        <f>SUMIFS(Data!$J:$J,Data!$H:$H,"Elektriciteitsverbruik - gr*",Data!$Q:$Q,$V11,Data!$E:$E,Y$5,Data!$F:$F,$W$6)</f>
        <v>5441254</v>
      </c>
      <c r="Z11" s="51">
        <f>SUMIFS(Data!$J:$J,Data!$H:$H,"Elektriciteitsverbruik - gr*",Data!$Q:$Q,$V11,Data!$E:$E,Z$5,Data!$F:$F,$W$6)</f>
        <v>5683008</v>
      </c>
      <c r="AA11" s="51">
        <f>SUMIFS(Data!$J:$J,Data!$H:$H,"Elektriciteitsverbruik - gr*",Data!$Q:$Q,$V11,Data!$E:$E,AA$5,Data!$F:$F,$W$6)</f>
        <v>0</v>
      </c>
      <c r="AB11" s="51">
        <f>SUMIFS(Data!$J:$J,Data!$H:$H,"Elektriciteitsverbruik - gr*",Data!$Q:$Q,$V11,Data!$E:$E,AB$5,Data!$F:$F,$W$6)</f>
        <v>0</v>
      </c>
      <c r="AC11" s="51">
        <f>SUMIFS(Data!$J:$J,Data!$H:$H,"Elektriciteitsverbruik - gr*",Data!$Q:$Q,$V11,Data!$E:$E,AC$5,Data!$F:$F,$W$6)</f>
        <v>0</v>
      </c>
    </row>
    <row r="12" spans="1:35" ht="16.5" thickTop="1" thickBot="1" x14ac:dyDescent="0.25">
      <c r="B12" s="324" t="s">
        <v>121</v>
      </c>
      <c r="C12" s="51">
        <f>SUMIFS(Data!$J:$J,Data!$H:$H,"Aardgasverbruik",Data!$Q:$Q,$B12,Data!$E:$E,C$5,Data!$F:$F,$C$6)</f>
        <v>55816</v>
      </c>
      <c r="D12" s="51">
        <f>SUMIFS(Data!$J:$J,Data!$H:$H,"Aardgasverbruik",Data!$Q:$Q,$B12,Data!$E:$E,D$5,Data!$F:$F,$C$6)</f>
        <v>58378</v>
      </c>
      <c r="E12" s="51">
        <f>SUMIFS(Data!$J:$J,Data!$H:$H,"Aardgasverbruik",Data!$Q:$Q,$B12,Data!$E:$E,E$5,Data!$F:$F,$C$6)</f>
        <v>80318</v>
      </c>
      <c r="F12" s="51">
        <f>SUMIFS(Data!$J:$J,Data!$H:$H,"Aardgasverbruik",Data!$Q:$Q,$B12,Data!$E:$E,F$5,Data!$F:$F,$C$6)</f>
        <v>21572</v>
      </c>
      <c r="G12" s="51">
        <f>SUMIFS(Data!$J:$J,Data!$H:$H,"Aardgasverbruik",Data!$Q:$Q,$B12,Data!$E:$E,G$5,Data!$F:$F,$C$6)</f>
        <v>0</v>
      </c>
      <c r="H12" s="51">
        <f>SUMIFS(Data!$J:$J,Data!$H:$H,"Aardgasverbruik",Data!$Q:$Q,$B12,Data!$E:$E,H$5,Data!$F:$F,$C$6)</f>
        <v>0</v>
      </c>
      <c r="I12" s="51">
        <f>SUMIFS(Data!$J:$J,Data!$H:$H,"Aardgasverbruik",Data!$Q:$Q,$B12,Data!$E:$E,I$5,Data!$F:$F,$C$6)</f>
        <v>0</v>
      </c>
      <c r="V12" s="50" t="s">
        <v>121</v>
      </c>
      <c r="W12" s="51">
        <f>SUMIFS(Data!$J:$J,Data!$H:$H,"Elektriciteitsverbruik - gr*",Data!$Q:$Q,$V12,Data!$E:$E,W$5,Data!$F:$F,$W$6)</f>
        <v>538560</v>
      </c>
      <c r="X12" s="51">
        <f>SUMIFS(Data!$J:$J,Data!$H:$H,"Elektriciteitsverbruik - gr*",Data!$Q:$Q,$V12,Data!$E:$E,X$5,Data!$F:$F,$W$6)</f>
        <v>451101</v>
      </c>
      <c r="Y12" s="51">
        <f>SUMIFS(Data!$J:$J,Data!$H:$H,"Elektriciteitsverbruik - gr*",Data!$Q:$Q,$V12,Data!$E:$E,Y$5,Data!$F:$F,$W$6)</f>
        <v>444195</v>
      </c>
      <c r="Z12" s="51">
        <f>SUMIFS(Data!$J:$J,Data!$H:$H,"Elektriciteitsverbruik - gr*",Data!$Q:$Q,$V12,Data!$E:$E,Z$5,Data!$F:$F,$W$6)</f>
        <v>423705</v>
      </c>
      <c r="AA12" s="51">
        <f>SUMIFS(Data!$J:$J,Data!$H:$H,"Elektriciteitsverbruik - gr*",Data!$Q:$Q,$V12,Data!$E:$E,AA$5,Data!$F:$F,$W$6)</f>
        <v>0</v>
      </c>
      <c r="AB12" s="51">
        <f>SUMIFS(Data!$J:$J,Data!$H:$H,"Elektriciteitsverbruik - gr*",Data!$Q:$Q,$V12,Data!$E:$E,AB$5,Data!$F:$F,$W$6)</f>
        <v>0</v>
      </c>
      <c r="AC12" s="51">
        <f>SUMIFS(Data!$J:$J,Data!$H:$H,"Elektriciteitsverbruik - gr*",Data!$Q:$Q,$V12,Data!$E:$E,AC$5,Data!$F:$F,$W$6)</f>
        <v>0</v>
      </c>
    </row>
    <row r="13" spans="1:35" ht="16.5" thickTop="1" thickBot="1" x14ac:dyDescent="0.25">
      <c r="B13" s="324" t="s">
        <v>122</v>
      </c>
      <c r="C13" s="51">
        <f>SUMIFS(Data!$J:$J,Data!$H:$H,"Aardgasverbruik",Data!$Q:$Q,$B13,Data!$E:$E,C$5,Data!$F:$F,$C$6)</f>
        <v>56656</v>
      </c>
      <c r="D13" s="51">
        <f>SUMIFS(Data!$J:$J,Data!$H:$H,"Aardgasverbruik",Data!$Q:$Q,$B13,Data!$E:$E,D$5,Data!$F:$F,$C$6)</f>
        <v>64429</v>
      </c>
      <c r="E13" s="51">
        <f>SUMIFS(Data!$J:$J,Data!$H:$H,"Aardgasverbruik",Data!$Q:$Q,$B13,Data!$E:$E,E$5,Data!$F:$F,$C$6)</f>
        <v>37791</v>
      </c>
      <c r="F13" s="51">
        <f>SUMIFS(Data!$J:$J,Data!$H:$H,"Aardgasverbruik",Data!$Q:$Q,$B13,Data!$E:$E,F$5,Data!$F:$F,$C$6)</f>
        <v>33248.375</v>
      </c>
      <c r="G13" s="51">
        <f>SUMIFS(Data!$J:$J,Data!$H:$H,"Aardgasverbruik",Data!$Q:$Q,$B13,Data!$E:$E,G$5,Data!$F:$F,$C$6)</f>
        <v>0</v>
      </c>
      <c r="H13" s="51">
        <f>SUMIFS(Data!$J:$J,Data!$H:$H,"Aardgasverbruik",Data!$Q:$Q,$B13,Data!$E:$E,H$5,Data!$F:$F,$C$6)</f>
        <v>0</v>
      </c>
      <c r="I13" s="51">
        <f>SUMIFS(Data!$J:$J,Data!$H:$H,"Aardgasverbruik",Data!$Q:$Q,$B13,Data!$E:$E,I$5,Data!$F:$F,$C$6)</f>
        <v>0</v>
      </c>
      <c r="V13" s="50" t="s">
        <v>122</v>
      </c>
      <c r="W13" s="51">
        <f>SUMIFS(Data!$J:$J,Data!$H:$H,"Elektriciteitsverbruik - gr*",Data!$Q:$Q,$V13,Data!$E:$E,W$5,Data!$F:$F,$W$6)</f>
        <v>4631800</v>
      </c>
      <c r="X13" s="51">
        <f>SUMIFS(Data!$J:$J,Data!$H:$H,"Elektriciteitsverbruik - gr*",Data!$Q:$Q,$V13,Data!$E:$E,X$5,Data!$F:$F,$W$6)</f>
        <v>4742600</v>
      </c>
      <c r="Y13" s="51">
        <f>SUMIFS(Data!$J:$J,Data!$H:$H,"Elektriciteitsverbruik - gr*",Data!$Q:$Q,$V13,Data!$E:$E,Y$5,Data!$F:$F,$W$6)</f>
        <v>2875000</v>
      </c>
      <c r="Z13" s="51">
        <f>SUMIFS(Data!$J:$J,Data!$H:$H,"Elektriciteitsverbruik - gr*",Data!$Q:$Q,$V13,Data!$E:$E,Z$5,Data!$F:$F,$W$6)</f>
        <v>2934500</v>
      </c>
      <c r="AA13" s="51">
        <f>SUMIFS(Data!$J:$J,Data!$H:$H,"Elektriciteitsverbruik - gr*",Data!$Q:$Q,$V13,Data!$E:$E,AA$5,Data!$F:$F,$W$6)</f>
        <v>0</v>
      </c>
      <c r="AB13" s="51">
        <f>SUMIFS(Data!$J:$J,Data!$H:$H,"Elektriciteitsverbruik - gr*",Data!$Q:$Q,$V13,Data!$E:$E,AB$5,Data!$F:$F,$W$6)</f>
        <v>0</v>
      </c>
      <c r="AC13" s="51">
        <f>SUMIFS(Data!$J:$J,Data!$H:$H,"Elektriciteitsverbruik - gr*",Data!$Q:$Q,$V13,Data!$E:$E,AC$5,Data!$F:$F,$W$6)</f>
        <v>0</v>
      </c>
    </row>
    <row r="14" spans="1:35" ht="16.5" thickTop="1" thickBot="1" x14ac:dyDescent="0.25">
      <c r="B14" s="324" t="s">
        <v>123</v>
      </c>
      <c r="C14" s="51">
        <f>SUMIFS(Data!$J:$J,Data!$H:$H,"Aardgasverbruik",Data!$Q:$Q,$B14,Data!$E:$E,C$5,Data!$F:$F,$C$6)</f>
        <v>3913.0519999999997</v>
      </c>
      <c r="D14" s="51">
        <f>SUMIFS(Data!$J:$J,Data!$H:$H,"Aardgasverbruik",Data!$Q:$Q,$B14,Data!$E:$E,D$5,Data!$F:$F,$C$6)</f>
        <v>3813.2379999999998</v>
      </c>
      <c r="E14" s="51">
        <f>SUMIFS(Data!$J:$J,Data!$H:$H,"Aardgasverbruik",Data!$Q:$Q,$B14,Data!$E:$E,E$5,Data!$F:$F,$C$6)</f>
        <v>3951.0899999999997</v>
      </c>
      <c r="F14" s="51">
        <f>SUMIFS(Data!$J:$J,Data!$H:$H,"Aardgasverbruik",Data!$Q:$Q,$B14,Data!$E:$E,F$5,Data!$F:$F,$C$6)</f>
        <v>3951.0899999999997</v>
      </c>
      <c r="G14" s="51">
        <f>SUMIFS(Data!$J:$J,Data!$H:$H,"Aardgasverbruik",Data!$Q:$Q,$B14,Data!$E:$E,G$5,Data!$F:$F,$C$6)</f>
        <v>0</v>
      </c>
      <c r="H14" s="51">
        <f>SUMIFS(Data!$J:$J,Data!$H:$H,"Aardgasverbruik",Data!$Q:$Q,$B14,Data!$E:$E,H$5,Data!$F:$F,$C$6)</f>
        <v>0</v>
      </c>
      <c r="I14" s="51">
        <f>SUMIFS(Data!$J:$J,Data!$H:$H,"Aardgasverbruik",Data!$Q:$Q,$B14,Data!$E:$E,I$5,Data!$F:$F,$C$6)</f>
        <v>0</v>
      </c>
      <c r="V14" s="50" t="s">
        <v>123</v>
      </c>
      <c r="W14" s="51">
        <f>SUMIFS(Data!$J:$J,Data!$H:$H,"Elektriciteitsverbruik - gr*",Data!$Q:$Q,$V14,Data!$E:$E,W$5,Data!$F:$F,$W$6)</f>
        <v>92629.393999999986</v>
      </c>
      <c r="X14" s="51">
        <f>SUMIFS(Data!$J:$J,Data!$H:$H,"Elektriciteitsverbruik - gr*",Data!$Q:$Q,$V14,Data!$E:$E,X$5,Data!$F:$F,$W$6)</f>
        <v>84542.743999999992</v>
      </c>
      <c r="Y14" s="51">
        <f>SUMIFS(Data!$J:$J,Data!$H:$H,"Elektriciteitsverbruik - gr*",Data!$Q:$Q,$V14,Data!$E:$E,Y$5,Data!$F:$F,$W$6)</f>
        <v>72582.795999999988</v>
      </c>
      <c r="Z14" s="51">
        <f>SUMIFS(Data!$J:$J,Data!$H:$H,"Elektriciteitsverbruik - gr*",Data!$Q:$Q,$V14,Data!$E:$E,Z$5,Data!$F:$F,$W$6)</f>
        <v>55475.295532799995</v>
      </c>
      <c r="AA14" s="51">
        <f>SUMIFS(Data!$J:$J,Data!$H:$H,"Elektriciteitsverbruik - gr*",Data!$Q:$Q,$V14,Data!$E:$E,AA$5,Data!$F:$F,$W$6)</f>
        <v>0</v>
      </c>
      <c r="AB14" s="51">
        <f>SUMIFS(Data!$J:$J,Data!$H:$H,"Elektriciteitsverbruik - gr*",Data!$Q:$Q,$V14,Data!$E:$E,AB$5,Data!$F:$F,$W$6)</f>
        <v>0</v>
      </c>
      <c r="AC14" s="51">
        <f>SUMIFS(Data!$J:$J,Data!$H:$H,"Elektriciteitsverbruik - gr*",Data!$Q:$Q,$V14,Data!$E:$E,AC$5,Data!$F:$F,$W$6)</f>
        <v>0</v>
      </c>
    </row>
    <row r="15" spans="1:35" ht="16.5" thickTop="1" thickBot="1" x14ac:dyDescent="0.25">
      <c r="B15" s="324" t="s">
        <v>124</v>
      </c>
      <c r="C15" s="51">
        <f>SUMIFS(Data!$J:$J,Data!$H:$H,"Aardgasverbruik",Data!$Q:$Q,$B15,Data!$E:$E,C$5,Data!$F:$F,$C$6)</f>
        <v>13457.973</v>
      </c>
      <c r="D15" s="51">
        <f>SUMIFS(Data!$J:$J,Data!$H:$H,"Aardgasverbruik",Data!$Q:$Q,$B15,Data!$E:$E,D$5,Data!$F:$F,$C$6)</f>
        <v>15838.368</v>
      </c>
      <c r="E15" s="51">
        <f>SUMIFS(Data!$J:$J,Data!$H:$H,"Aardgasverbruik",Data!$Q:$Q,$B15,Data!$E:$E,E$5,Data!$F:$F,$C$6)</f>
        <v>17889.87</v>
      </c>
      <c r="F15" s="51">
        <f>SUMIFS(Data!$J:$J,Data!$H:$H,"Aardgasverbruik",Data!$Q:$Q,$B15,Data!$E:$E,F$5,Data!$F:$F,$C$6)</f>
        <v>14311.008</v>
      </c>
      <c r="G15" s="51">
        <f>SUMIFS(Data!$J:$J,Data!$H:$H,"Aardgasverbruik",Data!$Q:$Q,$B15,Data!$E:$E,G$5,Data!$F:$F,$C$6)</f>
        <v>0</v>
      </c>
      <c r="H15" s="51">
        <f>SUMIFS(Data!$J:$J,Data!$H:$H,"Aardgasverbruik",Data!$Q:$Q,$B15,Data!$E:$E,H$5,Data!$F:$F,$C$6)</f>
        <v>0</v>
      </c>
      <c r="I15" s="51">
        <f>SUMIFS(Data!$J:$J,Data!$H:$H,"Aardgasverbruik",Data!$Q:$Q,$B15,Data!$E:$E,I$5,Data!$F:$F,$C$6)</f>
        <v>0</v>
      </c>
      <c r="V15" s="50" t="s">
        <v>124</v>
      </c>
      <c r="W15" s="51">
        <f>SUMIFS(Data!$J:$J,Data!$H:$H,"Elektriciteitsverbruik - gr*",Data!$Q:$Q,$V15,Data!$E:$E,W$5,Data!$F:$F,$W$6)</f>
        <v>134573.29200000002</v>
      </c>
      <c r="X15" s="51">
        <f>SUMIFS(Data!$J:$J,Data!$H:$H,"Elektriciteitsverbruik - gr*",Data!$Q:$Q,$V15,Data!$E:$E,X$5,Data!$F:$F,$W$6)</f>
        <v>141087.77100000001</v>
      </c>
      <c r="Y15" s="51">
        <f>SUMIFS(Data!$J:$J,Data!$H:$H,"Elektriciteitsverbruik - gr*",Data!$Q:$Q,$V15,Data!$E:$E,Y$5,Data!$F:$F,$W$6)</f>
        <v>143178.01199999999</v>
      </c>
      <c r="Z15" s="51">
        <f>SUMIFS(Data!$J:$J,Data!$H:$H,"Elektriciteitsverbruik - gr*",Data!$Q:$Q,$V15,Data!$E:$E,Z$5,Data!$F:$F,$W$6)</f>
        <v>139328.19899999999</v>
      </c>
      <c r="AA15" s="51">
        <f>SUMIFS(Data!$J:$J,Data!$H:$H,"Elektriciteitsverbruik - gr*",Data!$Q:$Q,$V15,Data!$E:$E,AA$5,Data!$F:$F,$W$6)</f>
        <v>0</v>
      </c>
      <c r="AB15" s="51">
        <f>SUMIFS(Data!$J:$J,Data!$H:$H,"Elektriciteitsverbruik - gr*",Data!$Q:$Q,$V15,Data!$E:$E,AB$5,Data!$F:$F,$W$6)</f>
        <v>0</v>
      </c>
      <c r="AC15" s="51">
        <f>SUMIFS(Data!$J:$J,Data!$H:$H,"Elektriciteitsverbruik - gr*",Data!$Q:$Q,$V15,Data!$E:$E,AC$5,Data!$F:$F,$W$6)</f>
        <v>0</v>
      </c>
    </row>
    <row r="16" spans="1:35" ht="16.5" thickTop="1" thickBot="1" x14ac:dyDescent="0.25">
      <c r="B16" s="324" t="s">
        <v>125</v>
      </c>
      <c r="C16" s="51">
        <f>SUMIFS(Data!$J:$J,Data!$H:$H,"Aardgasverbruik",Data!$Q:$Q,$B16,Data!$E:$E,C$5,Data!$F:$F,$C$6)</f>
        <v>0</v>
      </c>
      <c r="D16" s="51">
        <f>SUMIFS(Data!$J:$J,Data!$H:$H,"Aardgasverbruik",Data!$Q:$Q,$B16,Data!$E:$E,D$5,Data!$F:$F,$C$6)</f>
        <v>0</v>
      </c>
      <c r="E16" s="51">
        <f>SUMIFS(Data!$J:$J,Data!$H:$H,"Aardgasverbruik",Data!$Q:$Q,$B16,Data!$E:$E,E$5,Data!$F:$F,$C$6)</f>
        <v>0</v>
      </c>
      <c r="F16" s="51">
        <f>SUMIFS(Data!$J:$J,Data!$H:$H,"Aardgasverbruik",Data!$Q:$Q,$B16,Data!$E:$E,F$5,Data!$F:$F,$C$6)</f>
        <v>7.44</v>
      </c>
      <c r="G16" s="51">
        <f>SUMIFS(Data!$J:$J,Data!$H:$H,"Aardgasverbruik",Data!$Q:$Q,$B16,Data!$E:$E,G$5,Data!$F:$F,$C$6)</f>
        <v>0</v>
      </c>
      <c r="H16" s="51">
        <f>SUMIFS(Data!$J:$J,Data!$H:$H,"Aardgasverbruik",Data!$Q:$Q,$B16,Data!$E:$E,H$5,Data!$F:$F,$C$6)</f>
        <v>0</v>
      </c>
      <c r="I16" s="51">
        <f>SUMIFS(Data!$J:$J,Data!$H:$H,"Aardgasverbruik",Data!$Q:$Q,$B16,Data!$E:$E,I$5,Data!$F:$F,$C$6)</f>
        <v>0</v>
      </c>
      <c r="V16" s="50" t="s">
        <v>125</v>
      </c>
      <c r="W16" s="51">
        <f>SUMIFS(Data!$J:$J,Data!$H:$H,"Elektriciteitsverbruik - gr*",Data!$Q:$Q,$V16,Data!$E:$E,W$5,Data!$F:$F,$W$6)</f>
        <v>0</v>
      </c>
      <c r="X16" s="51">
        <f>SUMIFS(Data!$J:$J,Data!$H:$H,"Elektriciteitsverbruik - gr*",Data!$Q:$Q,$V16,Data!$E:$E,X$5,Data!$F:$F,$W$6)</f>
        <v>0</v>
      </c>
      <c r="Y16" s="51">
        <f>SUMIFS(Data!$J:$J,Data!$H:$H,"Elektriciteitsverbruik - gr*",Data!$Q:$Q,$V16,Data!$E:$E,Y$5,Data!$F:$F,$W$6)</f>
        <v>0</v>
      </c>
      <c r="Z16" s="51">
        <f>SUMIFS(Data!$J:$J,Data!$H:$H,"Elektriciteitsverbruik - gr*",Data!$Q:$Q,$V16,Data!$E:$E,Z$5,Data!$F:$F,$W$6)</f>
        <v>38297.734119187953</v>
      </c>
      <c r="AA16" s="51">
        <f>SUMIFS(Data!$J:$J,Data!$H:$H,"Elektriciteitsverbruik - gr*",Data!$Q:$Q,$V16,Data!$E:$E,AA$5,Data!$F:$F,$W$6)</f>
        <v>0</v>
      </c>
      <c r="AB16" s="51">
        <f>SUMIFS(Data!$J:$J,Data!$H:$H,"Elektriciteitsverbruik - gr*",Data!$Q:$Q,$V16,Data!$E:$E,AB$5,Data!$F:$F,$W$6)</f>
        <v>0</v>
      </c>
      <c r="AC16" s="51">
        <f>SUMIFS(Data!$J:$J,Data!$H:$H,"Elektriciteitsverbruik - gr*",Data!$Q:$Q,$V16,Data!$E:$E,AC$5,Data!$F:$F,$W$6)</f>
        <v>0</v>
      </c>
    </row>
    <row r="17" spans="2:29" ht="16.5" thickTop="1" thickBot="1" x14ac:dyDescent="0.25">
      <c r="B17" s="48" t="s">
        <v>126</v>
      </c>
      <c r="C17" s="253">
        <f t="shared" ref="C17:I17" si="8">SUM(C7:C16)</f>
        <v>924373.02500000002</v>
      </c>
      <c r="D17" s="253">
        <f t="shared" si="8"/>
        <v>1585096.6059999999</v>
      </c>
      <c r="E17" s="253">
        <f t="shared" si="8"/>
        <v>2099691.96</v>
      </c>
      <c r="F17" s="253">
        <f t="shared" si="8"/>
        <v>1629502.9129999999</v>
      </c>
      <c r="G17" s="253">
        <f t="shared" si="8"/>
        <v>0</v>
      </c>
      <c r="H17" s="253">
        <f t="shared" si="8"/>
        <v>0</v>
      </c>
      <c r="I17" s="253">
        <f t="shared" si="8"/>
        <v>0</v>
      </c>
      <c r="V17" s="48" t="s">
        <v>126</v>
      </c>
      <c r="W17" s="253">
        <f t="shared" ref="W17:AC17" si="9">SUM(W7:W16)</f>
        <v>56239108.686000004</v>
      </c>
      <c r="X17" s="253">
        <f t="shared" si="9"/>
        <v>68814429.515000001</v>
      </c>
      <c r="Y17" s="253">
        <f t="shared" si="9"/>
        <v>72264263.807999998</v>
      </c>
      <c r="Z17" s="253">
        <f t="shared" si="9"/>
        <v>74283597.228651986</v>
      </c>
      <c r="AA17" s="253">
        <f t="shared" si="9"/>
        <v>0</v>
      </c>
      <c r="AB17" s="253">
        <f t="shared" si="9"/>
        <v>0</v>
      </c>
      <c r="AC17" s="253">
        <f t="shared" si="9"/>
        <v>0</v>
      </c>
    </row>
    <row r="18" spans="2:29" ht="15.75" thickTop="1" x14ac:dyDescent="0.2"/>
    <row r="20" spans="2:29" ht="15.75" thickBot="1" x14ac:dyDescent="0.25"/>
    <row r="21" spans="2:29" ht="16.5" thickTop="1" thickBot="1" x14ac:dyDescent="0.25">
      <c r="B21" s="353" t="s">
        <v>127</v>
      </c>
      <c r="C21" s="354"/>
      <c r="D21" s="354"/>
      <c r="E21" s="354"/>
      <c r="F21" s="354"/>
      <c r="G21" s="354"/>
      <c r="H21" s="354"/>
      <c r="I21" s="354"/>
      <c r="V21" s="353" t="s">
        <v>128</v>
      </c>
      <c r="W21" s="354"/>
      <c r="X21" s="354"/>
      <c r="Y21" s="354"/>
      <c r="Z21" s="354"/>
      <c r="AA21" s="354"/>
      <c r="AB21" s="354"/>
      <c r="AC21" s="354"/>
    </row>
    <row r="22" spans="2:29" ht="16.5" thickTop="1" thickBot="1" x14ac:dyDescent="0.25">
      <c r="B22" s="57"/>
      <c r="C22" s="55">
        <f>'Input keuzevariabelen'!$D$11</f>
        <v>2019</v>
      </c>
      <c r="D22" s="57">
        <f>C22+1</f>
        <v>2020</v>
      </c>
      <c r="E22" s="55">
        <f>D22+1</f>
        <v>2021</v>
      </c>
      <c r="F22" s="57">
        <f t="shared" ref="F22" si="10">E22+1</f>
        <v>2022</v>
      </c>
      <c r="G22" s="55">
        <f t="shared" ref="G22" si="11">F22+1</f>
        <v>2023</v>
      </c>
      <c r="H22" s="57">
        <f t="shared" ref="H22" si="12">G22+1</f>
        <v>2024</v>
      </c>
      <c r="I22" s="55">
        <f t="shared" ref="I22" si="13">H22+1</f>
        <v>2025</v>
      </c>
      <c r="V22" s="57"/>
      <c r="W22" s="55">
        <f>'Input keuzevariabelen'!$D$11</f>
        <v>2019</v>
      </c>
      <c r="X22" s="57">
        <f>W22+1</f>
        <v>2020</v>
      </c>
      <c r="Y22" s="55">
        <f>X22+1</f>
        <v>2021</v>
      </c>
      <c r="Z22" s="57">
        <f t="shared" ref="Z22" si="14">Y22+1</f>
        <v>2022</v>
      </c>
      <c r="AA22" s="55">
        <f t="shared" ref="AA22" si="15">Z22+1</f>
        <v>2023</v>
      </c>
      <c r="AB22" s="57">
        <f t="shared" ref="AB22" si="16">AA22+1</f>
        <v>2024</v>
      </c>
      <c r="AC22" s="55">
        <f t="shared" ref="AC22" si="17">AB22+1</f>
        <v>2025</v>
      </c>
    </row>
    <row r="23" spans="2:29" ht="16.5" thickTop="1" thickBot="1" x14ac:dyDescent="0.25">
      <c r="B23" s="57"/>
      <c r="C23" s="377" t="s">
        <v>13</v>
      </c>
      <c r="D23" s="378"/>
      <c r="E23" s="378"/>
      <c r="F23" s="378"/>
      <c r="G23" s="378"/>
      <c r="H23" s="378"/>
      <c r="I23" s="379"/>
      <c r="V23" s="57"/>
      <c r="W23" s="377" t="s">
        <v>13</v>
      </c>
      <c r="X23" s="378"/>
      <c r="Y23" s="378"/>
      <c r="Z23" s="378"/>
      <c r="AA23" s="378"/>
      <c r="AB23" s="378"/>
      <c r="AC23" s="379"/>
    </row>
    <row r="24" spans="2:29" ht="16.5" thickTop="1" thickBot="1" x14ac:dyDescent="0.25">
      <c r="B24" s="50" t="s">
        <v>129</v>
      </c>
      <c r="C24" s="51">
        <f>SUMIFS(Data!$J:$J,Data!$H:$H,"*benzine*",Data!$E:$E,C$22,Data!$F:$F,$C$23)</f>
        <v>28453.702000000001</v>
      </c>
      <c r="D24" s="51">
        <f>SUMIFS(Data!$J:$J,Data!$H:$H,"*benzine*",Data!$E:$E,D$22,Data!$F:$F,$C$23)</f>
        <v>2629.998</v>
      </c>
      <c r="E24" s="51">
        <f>SUMIFS(Data!$J:$J,Data!$H:$H,"*benzine*",Data!$E:$E,E$22,Data!$F:$F,$C$23)</f>
        <v>29302.953000000001</v>
      </c>
      <c r="F24" s="51">
        <f>SUMIFS(Data!$J:$J,Data!$H:$H,"*benzine*",Data!$E:$E,F$22,Data!$F:$F,$C$23)</f>
        <v>31359.660478764479</v>
      </c>
      <c r="G24" s="51">
        <f>SUMIFS(Data!$J:$J,Data!$H:$H,"*benzine*",Data!$E:$E,G$22,Data!$F:$F,$C$23)</f>
        <v>0</v>
      </c>
      <c r="H24" s="51">
        <f>SUMIFS(Data!$J:$J,Data!$H:$H,"*benzine*",Data!$E:$E,H$22,Data!$F:$F,$C$23)</f>
        <v>0</v>
      </c>
      <c r="I24" s="51">
        <f>SUMIFS(Data!$J:$J,Data!$H:$H,"*benzine*",Data!$E:$E,I$22,Data!$F:$F,$C$23)</f>
        <v>0</v>
      </c>
      <c r="V24" s="50" t="s">
        <v>130</v>
      </c>
      <c r="W24" s="51">
        <f>SUMIFS(Data!$J:$J,Data!$H:$H,"*Gedeclareerde*",Data!$E:$E,W$22,Data!$F:$F,$W$23)</f>
        <v>2148862.905263158</v>
      </c>
      <c r="X24" s="51">
        <f>SUMIFS(Data!$J:$J,Data!$H:$H,"*Gedeclareerde*",Data!$E:$E,X$22,Data!$F:$F,$W$23)</f>
        <v>1107371.6105263159</v>
      </c>
      <c r="Y24" s="51">
        <f>SUMIFS(Data!$J:$J,Data!$H:$H,"*Gedeclareerde*",Data!$E:$E,Y$22,Data!$F:$F,$W$23)</f>
        <v>189455.17894736843</v>
      </c>
      <c r="Z24" s="51">
        <f>SUMIFS(Data!$J:$J,Data!$H:$H,"*Gedeclareerde*",Data!$E:$E,Z$22,Data!$F:$F,$W$23)</f>
        <v>302351.7212631579</v>
      </c>
      <c r="AA24" s="51">
        <f>SUMIFS(Data!$J:$J,Data!$H:$H,"*Gedeclareerde*",Data!$E:$E,AA$22,Data!$F:$F,$W$23)</f>
        <v>0</v>
      </c>
      <c r="AB24" s="51">
        <f>SUMIFS(Data!$J:$J,Data!$H:$H,"*Gedeclareerde*",Data!$E:$E,AB$22,Data!$F:$F,$W$23)</f>
        <v>0</v>
      </c>
      <c r="AC24" s="51">
        <f>SUMIFS(Data!$J:$J,Data!$H:$H,"*Gedeclareerde*",Data!$E:$E,AC$22,Data!$F:$F,$W$23)</f>
        <v>0</v>
      </c>
    </row>
    <row r="25" spans="2:29" ht="16.5" thickTop="1" thickBot="1" x14ac:dyDescent="0.25">
      <c r="B25" s="50" t="s">
        <v>131</v>
      </c>
      <c r="C25" s="51">
        <f>SUMIFS(Data!$J:$J,Data!$H:$H,"*diesel*",Data!$E:$E,C$22,Data!$F:$F,$C$23)</f>
        <v>43738.561999999998</v>
      </c>
      <c r="D25" s="51">
        <f>SUMIFS(Data!$J:$J,Data!$H:$H,"*diesel*",Data!$E:$E,D$22,Data!$F:$F,$C$23)</f>
        <v>42090.157999999996</v>
      </c>
      <c r="E25" s="51">
        <f>SUMIFS(Data!$J:$J,Data!$H:$H,"*diesel*",Data!$E:$E,E$22,Data!$F:$F,$C$23)</f>
        <v>40841.764000000003</v>
      </c>
      <c r="F25" s="51">
        <f>SUMIFS(Data!$J:$J,Data!$H:$H,"*diesel*",Data!$E:$E,F$22,Data!$F:$F,$C$23)</f>
        <v>44703.752484662575</v>
      </c>
      <c r="G25" s="51">
        <f>SUMIFS(Data!$J:$J,Data!$H:$H,"*diesel*",Data!$E:$E,G$22,Data!$F:$F,$C$23)</f>
        <v>0</v>
      </c>
      <c r="H25" s="51">
        <f>SUMIFS(Data!$J:$J,Data!$H:$H,"*diesel*",Data!$E:$E,H$22,Data!$F:$F,$C$23)</f>
        <v>0</v>
      </c>
      <c r="I25" s="51">
        <f>SUMIFS(Data!$J:$J,Data!$H:$H,"*diesel*",Data!$E:$E,I$22,Data!$F:$F,$C$23)</f>
        <v>0</v>
      </c>
      <c r="V25" s="50" t="s">
        <v>132</v>
      </c>
      <c r="W25" s="51">
        <f>SUMIFS(Data!$J:$J,Data!$H:$H,"*Openbaar*",Data!$E:$E,W$22,Data!$F:$F,$W$23)</f>
        <v>508.38</v>
      </c>
      <c r="X25" s="51">
        <f>SUMIFS(Data!$J:$J,Data!$H:$H,"*Openbaar*",Data!$E:$E,X$22,Data!$F:$F,$W$23)</f>
        <v>384.8</v>
      </c>
      <c r="Y25" s="51">
        <f>SUMIFS(Data!$J:$J,Data!$H:$H,"*Openbaar*",Data!$E:$E,Y$22,Data!$F:$F,$W$23)</f>
        <v>134946.66</v>
      </c>
      <c r="Z25" s="51">
        <f>SUMIFS(Data!$J:$J,Data!$H:$H,"*Openbaar*",Data!$E:$E,Z$22,Data!$F:$F,$W$23)</f>
        <v>349494.0153846154</v>
      </c>
      <c r="AA25" s="51">
        <f>SUMIFS(Data!$J:$J,Data!$H:$H,"*Openbaar*",Data!$E:$E,AA$22,Data!$F:$F,$W$23)</f>
        <v>0</v>
      </c>
      <c r="AB25" s="51">
        <f>SUMIFS(Data!$J:$J,Data!$H:$H,"*Openbaar*",Data!$E:$E,AB$22,Data!$F:$F,$W$23)</f>
        <v>0</v>
      </c>
      <c r="AC25" s="51">
        <f>SUMIFS(Data!$J:$J,Data!$H:$H,"*Openbaar*",Data!$E:$E,AC$22,Data!$F:$F,$W$23)</f>
        <v>0</v>
      </c>
    </row>
    <row r="26" spans="2:29" ht="16.5" thickTop="1" thickBot="1" x14ac:dyDescent="0.25">
      <c r="B26" s="50" t="s">
        <v>133</v>
      </c>
      <c r="C26" s="51">
        <f>SUMIFS(Data!$J:$J,Data!$H:$H,"*wagens*",Data!$E:$E,C$22,Data!$F:$F,$C$23)</f>
        <v>155.98699999999999</v>
      </c>
      <c r="D26" s="51">
        <f>SUMIFS(Data!$J:$J,Data!$H:$H,"*wagens*",Data!$E:$E,D$22,Data!$F:$F,$C$23)</f>
        <v>603.55700000000002</v>
      </c>
      <c r="E26" s="51">
        <f>SUMIFS(Data!$J:$J,Data!$H:$H,"*wagens*",Data!$E:$E,E$22,Data!$F:$F,$C$23)</f>
        <v>809.30100000000004</v>
      </c>
      <c r="F26" s="51">
        <f>SUMIFS(Data!$J:$J,Data!$H:$H,"*wagens*",Data!$E:$E,F$22,Data!$F:$F,$C$23)</f>
        <v>2460.567</v>
      </c>
      <c r="G26" s="51">
        <f>SUMIFS(Data!$J:$J,Data!$H:$H,"*wagens*",Data!$E:$E,G$22,Data!$F:$F,$C$23)</f>
        <v>0</v>
      </c>
      <c r="H26" s="51">
        <f>SUMIFS(Data!$J:$J,Data!$H:$H,"*wagens*",Data!$E:$E,H$22,Data!$F:$F,$C$23)</f>
        <v>0</v>
      </c>
      <c r="I26" s="51">
        <f>SUMIFS(Data!$J:$J,Data!$H:$H,"*wagens*",Data!$E:$E,I$22,Data!$F:$F,$C$23)</f>
        <v>0</v>
      </c>
      <c r="V26" s="50" t="s">
        <v>134</v>
      </c>
      <c r="W26" s="51">
        <f>SUMIFS(Data!$J:$J,Data!$H:$H,"*trein*",Data!$E:$E,W$22,Data!$F:$F,$W$23)</f>
        <v>1635100</v>
      </c>
      <c r="X26" s="51">
        <f>SUMIFS(Data!$J:$J,Data!$H:$H,"*trein*",Data!$E:$E,X$22,Data!$F:$F,$W$23)</f>
        <v>0</v>
      </c>
      <c r="Y26" s="51">
        <f>SUMIFS(Data!$J:$J,Data!$H:$H,"*trein*",Data!$E:$E,Y$22,Data!$F:$F,$W$23)</f>
        <v>0</v>
      </c>
      <c r="Z26" s="51">
        <f>SUMIFS(Data!$J:$J,Data!$H:$H,"*trein*",Data!$E:$E,Z$22,Data!$F:$F,$W$23)</f>
        <v>0</v>
      </c>
      <c r="AA26" s="51">
        <f>SUMIFS(Data!$J:$J,Data!$H:$H,"*trein*",Data!$E:$E,AA$22,Data!$F:$F,$W$23)</f>
        <v>0</v>
      </c>
      <c r="AB26" s="51">
        <f>SUMIFS(Data!$J:$J,Data!$H:$H,"*trein*",Data!$E:$E,AB$22,Data!$F:$F,$W$23)</f>
        <v>0</v>
      </c>
      <c r="AC26" s="51">
        <f>SUMIFS(Data!$J:$J,Data!$H:$H,"*trein*",Data!$E:$E,AC$22,Data!$F:$F,$W$23)</f>
        <v>0</v>
      </c>
    </row>
    <row r="27" spans="2:29" ht="16.5" thickTop="1" thickBot="1" x14ac:dyDescent="0.25">
      <c r="B27" s="48" t="s">
        <v>126</v>
      </c>
      <c r="C27" s="253">
        <f>SUM(C24:C26)</f>
        <v>72348.250999999989</v>
      </c>
      <c r="D27" s="253">
        <f>SUM(D24:D26)</f>
        <v>45323.712999999996</v>
      </c>
      <c r="E27" s="253">
        <f>SUM(E24:E26)</f>
        <v>70954.018000000011</v>
      </c>
      <c r="F27" s="253">
        <f t="shared" ref="F27:I27" si="18">SUM(F24:F26)</f>
        <v>78523.979963427046</v>
      </c>
      <c r="G27" s="253">
        <f t="shared" si="18"/>
        <v>0</v>
      </c>
      <c r="H27" s="253">
        <f t="shared" si="18"/>
        <v>0</v>
      </c>
      <c r="I27" s="253">
        <f t="shared" si="18"/>
        <v>0</v>
      </c>
      <c r="V27" s="50" t="s">
        <v>42</v>
      </c>
      <c r="W27" s="51">
        <f>SUMIFS(Data!$J:$J,Data!$H:$H,"*&lt;700*",Data!$E:$E,W$22,Data!$F:$F,$W$23)</f>
        <v>7774</v>
      </c>
      <c r="X27" s="51">
        <f>SUMIFS(Data!$J:$J,Data!$H:$H,"*&lt;700*",Data!$E:$E,X$22,Data!$F:$F,$W$23)</f>
        <v>1960</v>
      </c>
      <c r="Y27" s="51">
        <f>SUMIFS(Data!$J:$J,Data!$H:$H,"*&lt;700*",Data!$E:$E,Y$22,Data!$F:$F,$W$23)</f>
        <v>0</v>
      </c>
      <c r="Z27" s="51">
        <f>SUMIFS(Data!$J:$J,Data!$H:$H,"*&lt;700*",Data!$E:$E,Z$22,Data!$F:$F,$W$23)</f>
        <v>249.024</v>
      </c>
      <c r="AA27" s="51">
        <f>SUMIFS(Data!$J:$J,Data!$H:$H,"*&lt;700*",Data!$E:$E,AA$22,Data!$F:$F,$W$23)</f>
        <v>0</v>
      </c>
      <c r="AB27" s="51">
        <f>SUMIFS(Data!$J:$J,Data!$H:$H,"*&lt;700*",Data!$E:$E,AB$22,Data!$F:$F,$W$23)</f>
        <v>0</v>
      </c>
      <c r="AC27" s="51">
        <f>SUMIFS(Data!$J:$J,Data!$H:$H,"*&lt;700*",Data!$E:$E,AC$22,Data!$F:$F,$W$23)</f>
        <v>0</v>
      </c>
    </row>
    <row r="28" spans="2:29" ht="16.5" thickTop="1" thickBot="1" x14ac:dyDescent="0.25">
      <c r="V28" s="50" t="s">
        <v>135</v>
      </c>
      <c r="W28" s="51">
        <f>SUMIFS(Data!$J:$J,Data!$H:$H,"*700-2500*",Data!$E:$E,W$22,Data!$F:$F,$W$23)</f>
        <v>5786</v>
      </c>
      <c r="X28" s="51">
        <f>SUMIFS(Data!$J:$J,Data!$H:$H,"*700-2500*",Data!$E:$E,X$22,Data!$F:$F,$W$23)</f>
        <v>206567</v>
      </c>
      <c r="Y28" s="51">
        <f>SUMIFS(Data!$J:$J,Data!$H:$H,"*700-2500*",Data!$E:$E,Y$22,Data!$F:$F,$W$23)</f>
        <v>5006</v>
      </c>
      <c r="Z28" s="51">
        <f>SUMIFS(Data!$J:$J,Data!$H:$H,"*700-2500*",Data!$E:$E,Z$22,Data!$F:$F,$W$23)</f>
        <v>209.42400000000001</v>
      </c>
      <c r="AA28" s="51">
        <f>SUMIFS(Data!$J:$J,Data!$H:$H,"*700-2500*",Data!$E:$E,AA$22,Data!$F:$F,$W$23)</f>
        <v>0</v>
      </c>
      <c r="AB28" s="51">
        <f>SUMIFS(Data!$J:$J,Data!$H:$H,"*700-2500*",Data!$E:$E,AB$22,Data!$F:$F,$W$23)</f>
        <v>0</v>
      </c>
      <c r="AC28" s="51">
        <f>SUMIFS(Data!$J:$J,Data!$H:$H,"*700-2500*",Data!$E:$E,AC$22,Data!$F:$F,$W$23)</f>
        <v>0</v>
      </c>
    </row>
    <row r="29" spans="2:29" ht="16.5" thickTop="1" thickBot="1" x14ac:dyDescent="0.25">
      <c r="V29" s="50" t="s">
        <v>136</v>
      </c>
      <c r="W29" s="51">
        <f>SUMIFS(Data!$J:$J,Data!$H:$H,"*&gt;2500*",Data!$E:$E,W$22,Data!$F:$F,$W$23)</f>
        <v>176578</v>
      </c>
      <c r="X29" s="51">
        <f>SUMIFS(Data!$J:$J,Data!$H:$H,"*&gt;2500*",Data!$E:$E,X$22,Data!$F:$F,$W$23)</f>
        <v>58826</v>
      </c>
      <c r="Y29" s="51">
        <f>SUMIFS(Data!$J:$J,Data!$H:$H,"*&gt;2500*",Data!$E:$E,Y$22,Data!$F:$F,$W$23)</f>
        <v>0</v>
      </c>
      <c r="Z29" s="51">
        <f>SUMIFS(Data!$J:$J,Data!$H:$H,"*&gt;2500*",Data!$E:$E,Z$22,Data!$F:$F,$W$23)</f>
        <v>303020</v>
      </c>
      <c r="AA29" s="51">
        <f>SUMIFS(Data!$J:$J,Data!$H:$H,"*&gt;2500*",Data!$E:$E,AA$22,Data!$F:$F,$W$23)</f>
        <v>0</v>
      </c>
      <c r="AB29" s="51">
        <f>SUMIFS(Data!$J:$J,Data!$H:$H,"*&gt;2500*",Data!$E:$E,AB$22,Data!$F:$F,$W$23)</f>
        <v>0</v>
      </c>
      <c r="AC29" s="51">
        <f>SUMIFS(Data!$J:$J,Data!$H:$H,"*&gt;2500*",Data!$E:$E,AC$22,Data!$F:$F,$W$23)</f>
        <v>0</v>
      </c>
    </row>
    <row r="30" spans="2:29" ht="16.5" thickTop="1" thickBot="1" x14ac:dyDescent="0.25">
      <c r="V30" s="48" t="s">
        <v>126</v>
      </c>
      <c r="W30" s="253">
        <f t="shared" ref="W30:AC30" si="19">SUM(W27:W29)</f>
        <v>190138</v>
      </c>
      <c r="X30" s="253">
        <f t="shared" si="19"/>
        <v>267353</v>
      </c>
      <c r="Y30" s="253">
        <f t="shared" si="19"/>
        <v>5006</v>
      </c>
      <c r="Z30" s="253">
        <f t="shared" si="19"/>
        <v>303478.44799999997</v>
      </c>
      <c r="AA30" s="253">
        <f t="shared" si="19"/>
        <v>0</v>
      </c>
      <c r="AB30" s="253">
        <f t="shared" si="19"/>
        <v>0</v>
      </c>
      <c r="AC30" s="253">
        <f t="shared" si="19"/>
        <v>0</v>
      </c>
    </row>
    <row r="31" spans="2:29" ht="15.75" thickTop="1" x14ac:dyDescent="0.2"/>
  </sheetData>
  <mergeCells count="9">
    <mergeCell ref="B2:K2"/>
    <mergeCell ref="C6:I6"/>
    <mergeCell ref="W6:AC6"/>
    <mergeCell ref="C23:I23"/>
    <mergeCell ref="W23:AC23"/>
    <mergeCell ref="B4:I4"/>
    <mergeCell ref="V4:AC4"/>
    <mergeCell ref="B21:I21"/>
    <mergeCell ref="V21:AC2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DC59-4C53-4BAA-9B17-E6CA00B66D2A}">
  <dimension ref="C1:S277"/>
  <sheetViews>
    <sheetView showGridLines="0" zoomScaleNormal="100" workbookViewId="0">
      <selection activeCell="H180" sqref="H180"/>
    </sheetView>
    <sheetView topLeftCell="A73" workbookViewId="1">
      <selection activeCell="F40" sqref="F40"/>
    </sheetView>
  </sheetViews>
  <sheetFormatPr defaultColWidth="8.5" defaultRowHeight="15" x14ac:dyDescent="0.2"/>
  <cols>
    <col min="1" max="2" width="8.5" style="2"/>
    <col min="3" max="3" width="25.375" style="2" customWidth="1"/>
    <col min="4" max="4" width="13.125" style="255" customWidth="1"/>
    <col min="5" max="5" width="6" style="2" bestFit="1" customWidth="1"/>
    <col min="6" max="6" width="18.875" style="2" customWidth="1"/>
    <col min="7" max="7" width="19.125" style="2" customWidth="1"/>
    <col min="8" max="8" width="49.375" style="2" customWidth="1"/>
    <col min="9" max="9" width="16.875" style="286" bestFit="1" customWidth="1"/>
    <col min="10" max="10" width="16.875" style="286" customWidth="1"/>
    <col min="11" max="11" width="15.625" style="2" customWidth="1"/>
    <col min="12" max="12" width="17.125" style="2" customWidth="1"/>
    <col min="13" max="13" width="21" style="2" customWidth="1"/>
    <col min="14" max="14" width="15" style="282" customWidth="1"/>
    <col min="15" max="15" width="74.5" style="2" customWidth="1"/>
    <col min="16" max="16" width="28.5" style="2" customWidth="1"/>
    <col min="17" max="17" width="19" style="2" customWidth="1"/>
    <col min="18" max="18" width="15.5" style="2" customWidth="1"/>
    <col min="19" max="19" width="15.5" style="282" customWidth="1"/>
    <col min="20" max="16384" width="8.5" style="2"/>
  </cols>
  <sheetData>
    <row r="1" spans="3:19" ht="39.950000000000003" customHeight="1" x14ac:dyDescent="0.2"/>
    <row r="2" spans="3:19" ht="53.1" customHeight="1" x14ac:dyDescent="0.2">
      <c r="D2" s="325" t="s">
        <v>137</v>
      </c>
      <c r="F2" s="278"/>
    </row>
    <row r="6" spans="3:19" ht="33.75" customHeight="1" thickBot="1" x14ac:dyDescent="0.25">
      <c r="C6" s="380" t="s">
        <v>138</v>
      </c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</row>
    <row r="7" spans="3:19" ht="57" customHeight="1" thickTop="1" thickBot="1" x14ac:dyDescent="0.25">
      <c r="C7" s="100" t="s">
        <v>139</v>
      </c>
      <c r="D7" s="256" t="s">
        <v>140</v>
      </c>
      <c r="E7" s="101" t="s">
        <v>141</v>
      </c>
      <c r="F7" s="102" t="s">
        <v>142</v>
      </c>
      <c r="G7" s="101" t="s">
        <v>143</v>
      </c>
      <c r="H7" s="101" t="s">
        <v>144</v>
      </c>
      <c r="I7" s="331" t="s">
        <v>17</v>
      </c>
      <c r="J7" s="287" t="s">
        <v>145</v>
      </c>
      <c r="K7" s="101" t="s">
        <v>146</v>
      </c>
      <c r="L7" s="101" t="s">
        <v>147</v>
      </c>
      <c r="M7" s="101" t="s">
        <v>148</v>
      </c>
      <c r="N7" s="283" t="s">
        <v>149</v>
      </c>
      <c r="O7" s="101" t="s">
        <v>150</v>
      </c>
      <c r="P7" s="101" t="s">
        <v>151</v>
      </c>
      <c r="Q7" s="103" t="s">
        <v>152</v>
      </c>
      <c r="R7" s="103" t="s">
        <v>153</v>
      </c>
      <c r="S7" s="290" t="s">
        <v>34</v>
      </c>
    </row>
    <row r="8" spans="3:19" s="31" customFormat="1" ht="16.5" thickTop="1" thickBot="1" x14ac:dyDescent="0.25">
      <c r="C8" s="136" t="s">
        <v>11</v>
      </c>
      <c r="D8" s="257">
        <f>VLOOKUP(C8,'Input keuzevariabelen'!$B:$C,2,FALSE)</f>
        <v>1</v>
      </c>
      <c r="E8" s="137">
        <v>2019</v>
      </c>
      <c r="F8" s="138" t="s">
        <v>13</v>
      </c>
      <c r="G8" s="106" t="str">
        <f>VLOOKUP(H8,'Input keuzevariabelen'!$F:$J,2,FALSE)</f>
        <v>KPI</v>
      </c>
      <c r="H8" s="107" t="s">
        <v>154</v>
      </c>
      <c r="I8" s="332">
        <f>146610367/1000</f>
        <v>146610.367</v>
      </c>
      <c r="J8" s="288">
        <f>I8*D8</f>
        <v>146610.367</v>
      </c>
      <c r="K8" s="107">
        <f>VLOOKUP(H8,'Input keuzevariabelen'!$F:$J,3,FALSE)</f>
        <v>0</v>
      </c>
      <c r="L8" s="107">
        <f>SUMIFS('Input keuzevariabelen'!$I:$I,'Input keuzevariabelen'!$F:$F,Data!H8,'Input keuzevariabelen'!$K:$K,Data!E8)</f>
        <v>0</v>
      </c>
      <c r="M8" s="107">
        <f>VLOOKUP(H8,'Input keuzevariabelen'!$F:$J,5,FALSE)</f>
        <v>0</v>
      </c>
      <c r="N8" s="284">
        <f>J8*L8/1000000</f>
        <v>0</v>
      </c>
      <c r="O8" s="109" t="s">
        <v>155</v>
      </c>
      <c r="P8" s="107"/>
      <c r="Q8" s="108"/>
      <c r="R8" s="107">
        <f>SUMIFS('Input keuzevariabelen'!$P:$P,'Input keuzevariabelen'!$M:$M,Data!H8)</f>
        <v>0</v>
      </c>
      <c r="S8" s="291">
        <f>J8*R8</f>
        <v>0</v>
      </c>
    </row>
    <row r="9" spans="3:19" s="31" customFormat="1" ht="16.5" thickTop="1" thickBot="1" x14ac:dyDescent="0.25">
      <c r="C9" s="139" t="s">
        <v>11</v>
      </c>
      <c r="D9" s="257">
        <f>VLOOKUP(C9,'Input keuzevariabelen'!$B:$C,2,FALSE)</f>
        <v>1</v>
      </c>
      <c r="E9" s="137">
        <v>2019</v>
      </c>
      <c r="F9" s="138" t="s">
        <v>13</v>
      </c>
      <c r="G9" s="106">
        <f>VLOOKUP(H9,'Input keuzevariabelen'!$F:$J,2,FALSE)</f>
        <v>2</v>
      </c>
      <c r="H9" s="109" t="s">
        <v>31</v>
      </c>
      <c r="I9" s="332">
        <v>5406947</v>
      </c>
      <c r="J9" s="288">
        <f t="shared" ref="J9:J72" si="0">I9*D9</f>
        <v>5406947</v>
      </c>
      <c r="K9" s="107" t="str">
        <f>VLOOKUP(H9,'Input keuzevariabelen'!$F:$J,3,FALSE)</f>
        <v>kWh</v>
      </c>
      <c r="L9" s="107">
        <f>SUMIFS('Input keuzevariabelen'!$I:$I,'Input keuzevariabelen'!$F:$F,Data!H9,'Input keuzevariabelen'!$K:$K,Data!E9)</f>
        <v>0</v>
      </c>
      <c r="M9" s="107" t="str">
        <f>VLOOKUP(H9,'Input keuzevariabelen'!$F:$J,5,FALSE)</f>
        <v>gram CO2/kWh</v>
      </c>
      <c r="N9" s="284">
        <f t="shared" ref="N9:N72" si="1">J9*L9/1000000</f>
        <v>0</v>
      </c>
      <c r="O9" s="109" t="s">
        <v>156</v>
      </c>
      <c r="P9" s="109" t="s">
        <v>157</v>
      </c>
      <c r="Q9" s="110" t="s">
        <v>120</v>
      </c>
      <c r="R9" s="107">
        <f>SUMIFS('Input keuzevariabelen'!$P:$P,'Input keuzevariabelen'!$M:$M,Data!H9)</f>
        <v>5.2199999999999998E-3</v>
      </c>
      <c r="S9" s="291">
        <f t="shared" ref="S9:S72" si="2">J9*R9</f>
        <v>28224.263339999998</v>
      </c>
    </row>
    <row r="10" spans="3:19" s="31" customFormat="1" ht="16.5" thickTop="1" thickBot="1" x14ac:dyDescent="0.25">
      <c r="C10" s="139" t="s">
        <v>11</v>
      </c>
      <c r="D10" s="257">
        <f>VLOOKUP(C10,'Input keuzevariabelen'!$B:$C,2,FALSE)</f>
        <v>1</v>
      </c>
      <c r="E10" s="137">
        <v>2019</v>
      </c>
      <c r="F10" s="138" t="s">
        <v>13</v>
      </c>
      <c r="G10" s="106">
        <f>VLOOKUP(H10,'Input keuzevariabelen'!$F:$J,2,FALSE)</f>
        <v>2</v>
      </c>
      <c r="H10" s="109" t="s">
        <v>31</v>
      </c>
      <c r="I10" s="332">
        <v>538560</v>
      </c>
      <c r="J10" s="288">
        <f t="shared" si="0"/>
        <v>538560</v>
      </c>
      <c r="K10" s="107" t="str">
        <f>VLOOKUP(H10,'Input keuzevariabelen'!$F:$J,3,FALSE)</f>
        <v>kWh</v>
      </c>
      <c r="L10" s="107">
        <f>SUMIFS('Input keuzevariabelen'!$I:$I,'Input keuzevariabelen'!$F:$F,Data!H10,'Input keuzevariabelen'!$K:$K,Data!E10)</f>
        <v>0</v>
      </c>
      <c r="M10" s="107" t="str">
        <f>VLOOKUP(H10,'Input keuzevariabelen'!$F:$J,5,FALSE)</f>
        <v>gram CO2/kWh</v>
      </c>
      <c r="N10" s="284">
        <f t="shared" si="1"/>
        <v>0</v>
      </c>
      <c r="O10" s="112" t="s">
        <v>156</v>
      </c>
      <c r="P10" s="109" t="s">
        <v>157</v>
      </c>
      <c r="Q10" s="110" t="s">
        <v>121</v>
      </c>
      <c r="R10" s="107">
        <f>SUMIFS('Input keuzevariabelen'!$P:$P,'Input keuzevariabelen'!$M:$M,Data!H10)</f>
        <v>5.2199999999999998E-3</v>
      </c>
      <c r="S10" s="291">
        <f t="shared" si="2"/>
        <v>2811.2831999999999</v>
      </c>
    </row>
    <row r="11" spans="3:19" s="31" customFormat="1" ht="16.5" thickTop="1" thickBot="1" x14ac:dyDescent="0.25">
      <c r="C11" s="139" t="s">
        <v>11</v>
      </c>
      <c r="D11" s="257">
        <f>VLOOKUP(C11,'Input keuzevariabelen'!$B:$C,2,FALSE)</f>
        <v>1</v>
      </c>
      <c r="E11" s="137">
        <v>2019</v>
      </c>
      <c r="F11" s="138" t="s">
        <v>13</v>
      </c>
      <c r="G11" s="106">
        <f>VLOOKUP(H11,'Input keuzevariabelen'!$F:$J,2,FALSE)</f>
        <v>2</v>
      </c>
      <c r="H11" s="109" t="s">
        <v>31</v>
      </c>
      <c r="I11" s="332">
        <v>1946765</v>
      </c>
      <c r="J11" s="288">
        <f t="shared" si="0"/>
        <v>1946765</v>
      </c>
      <c r="K11" s="107" t="str">
        <f>VLOOKUP(H11,'Input keuzevariabelen'!$F:$J,3,FALSE)</f>
        <v>kWh</v>
      </c>
      <c r="L11" s="107">
        <f>SUMIFS('Input keuzevariabelen'!$I:$I,'Input keuzevariabelen'!$F:$F,Data!H11,'Input keuzevariabelen'!$K:$K,Data!E11)</f>
        <v>0</v>
      </c>
      <c r="M11" s="107" t="str">
        <f>VLOOKUP(H11,'Input keuzevariabelen'!$F:$J,5,FALSE)</f>
        <v>gram CO2/kWh</v>
      </c>
      <c r="N11" s="284">
        <f t="shared" si="1"/>
        <v>0</v>
      </c>
      <c r="O11" s="112" t="s">
        <v>156</v>
      </c>
      <c r="P11" s="109" t="s">
        <v>157</v>
      </c>
      <c r="Q11" s="110" t="s">
        <v>116</v>
      </c>
      <c r="R11" s="107">
        <f>SUMIFS('Input keuzevariabelen'!$P:$P,'Input keuzevariabelen'!$M:$M,Data!H11)</f>
        <v>5.2199999999999998E-3</v>
      </c>
      <c r="S11" s="291">
        <f t="shared" si="2"/>
        <v>10162.113299999999</v>
      </c>
    </row>
    <row r="12" spans="3:19" s="31" customFormat="1" ht="16.5" thickTop="1" thickBot="1" x14ac:dyDescent="0.25">
      <c r="C12" s="139" t="s">
        <v>11</v>
      </c>
      <c r="D12" s="257">
        <f>VLOOKUP(C12,'Input keuzevariabelen'!$B:$C,2,FALSE)</f>
        <v>1</v>
      </c>
      <c r="E12" s="137">
        <v>2019</v>
      </c>
      <c r="F12" s="138" t="s">
        <v>13</v>
      </c>
      <c r="G12" s="106">
        <f>VLOOKUP(H12,'Input keuzevariabelen'!$F:$J,2,FALSE)</f>
        <v>2</v>
      </c>
      <c r="H12" s="109" t="s">
        <v>29</v>
      </c>
      <c r="I12" s="332">
        <v>9625157</v>
      </c>
      <c r="J12" s="288">
        <f t="shared" si="0"/>
        <v>9625157</v>
      </c>
      <c r="K12" s="107" t="str">
        <f>VLOOKUP(H12,'Input keuzevariabelen'!$F:$J,3,FALSE)</f>
        <v>kWh</v>
      </c>
      <c r="L12" s="107">
        <f>SUMIFS('Input keuzevariabelen'!$I:$I,'Input keuzevariabelen'!$F:$F,Data!H12,'Input keuzevariabelen'!$K:$K,Data!E12)</f>
        <v>649</v>
      </c>
      <c r="M12" s="107" t="str">
        <f>VLOOKUP(H12,'Input keuzevariabelen'!$F:$J,5,FALSE)</f>
        <v>gram CO2/kWh</v>
      </c>
      <c r="N12" s="284">
        <f t="shared" si="1"/>
        <v>6246.726893</v>
      </c>
      <c r="O12" s="115" t="s">
        <v>156</v>
      </c>
      <c r="P12" s="109" t="s">
        <v>158</v>
      </c>
      <c r="Q12" s="110" t="s">
        <v>117</v>
      </c>
      <c r="R12" s="107">
        <f>SUMIFS('Input keuzevariabelen'!$P:$P,'Input keuzevariabelen'!$M:$M,Data!H12)</f>
        <v>5.2199999999999998E-3</v>
      </c>
      <c r="S12" s="291">
        <f t="shared" si="2"/>
        <v>50243.319539999997</v>
      </c>
    </row>
    <row r="13" spans="3:19" ht="16.5" thickTop="1" thickBot="1" x14ac:dyDescent="0.25">
      <c r="C13" s="140" t="s">
        <v>11</v>
      </c>
      <c r="D13" s="257">
        <f>VLOOKUP(C13,'Input keuzevariabelen'!$B:$C,2,FALSE)</f>
        <v>1</v>
      </c>
      <c r="E13" s="137">
        <v>2019</v>
      </c>
      <c r="F13" s="138" t="s">
        <v>13</v>
      </c>
      <c r="G13" s="106">
        <f>VLOOKUP(H13,'Input keuzevariabelen'!$F:$J,2,FALSE)</f>
        <v>2</v>
      </c>
      <c r="H13" s="112" t="s">
        <v>31</v>
      </c>
      <c r="I13" s="332">
        <v>8571299</v>
      </c>
      <c r="J13" s="288">
        <f t="shared" si="0"/>
        <v>8571299</v>
      </c>
      <c r="K13" s="107" t="str">
        <f>VLOOKUP(H13,'Input keuzevariabelen'!$F:$J,3,FALSE)</f>
        <v>kWh</v>
      </c>
      <c r="L13" s="107">
        <f>SUMIFS('Input keuzevariabelen'!$I:$I,'Input keuzevariabelen'!$F:$F,Data!H13,'Input keuzevariabelen'!$K:$K,Data!E13)</f>
        <v>0</v>
      </c>
      <c r="M13" s="107" t="str">
        <f>VLOOKUP(H13,'Input keuzevariabelen'!$F:$J,5,FALSE)</f>
        <v>gram CO2/kWh</v>
      </c>
      <c r="N13" s="284">
        <f t="shared" si="1"/>
        <v>0</v>
      </c>
      <c r="O13" s="115" t="s">
        <v>156</v>
      </c>
      <c r="P13" s="112" t="s">
        <v>157</v>
      </c>
      <c r="Q13" s="113" t="s">
        <v>118</v>
      </c>
      <c r="R13" s="107">
        <f>SUMIFS('Input keuzevariabelen'!$P:$P,'Input keuzevariabelen'!$M:$M,Data!H13)</f>
        <v>5.2199999999999998E-3</v>
      </c>
      <c r="S13" s="291">
        <f t="shared" si="2"/>
        <v>44742.180779999995</v>
      </c>
    </row>
    <row r="14" spans="3:19" ht="16.5" thickTop="1" thickBot="1" x14ac:dyDescent="0.25">
      <c r="C14" s="140" t="s">
        <v>11</v>
      </c>
      <c r="D14" s="257">
        <f>VLOOKUP(C14,'Input keuzevariabelen'!$B:$C,2,FALSE)</f>
        <v>1</v>
      </c>
      <c r="E14" s="137">
        <v>2019</v>
      </c>
      <c r="F14" s="138" t="s">
        <v>13</v>
      </c>
      <c r="G14" s="106">
        <f>VLOOKUP(H14,'Input keuzevariabelen'!$F:$J,2,FALSE)</f>
        <v>2</v>
      </c>
      <c r="H14" s="112" t="s">
        <v>29</v>
      </c>
      <c r="I14" s="333">
        <v>4465000</v>
      </c>
      <c r="J14" s="288">
        <f t="shared" si="0"/>
        <v>4465000</v>
      </c>
      <c r="K14" s="107" t="str">
        <f>VLOOKUP(H14,'Input keuzevariabelen'!$F:$J,3,FALSE)</f>
        <v>kWh</v>
      </c>
      <c r="L14" s="107">
        <f>SUMIFS('Input keuzevariabelen'!$I:$I,'Input keuzevariabelen'!$F:$F,Data!H14,'Input keuzevariabelen'!$K:$K,Data!E14)</f>
        <v>649</v>
      </c>
      <c r="M14" s="107" t="str">
        <f>VLOOKUP(H14,'Input keuzevariabelen'!$F:$J,5,FALSE)</f>
        <v>gram CO2/kWh</v>
      </c>
      <c r="N14" s="284">
        <f t="shared" si="1"/>
        <v>2897.7849999999999</v>
      </c>
      <c r="O14" s="112" t="s">
        <v>156</v>
      </c>
      <c r="P14" s="112" t="s">
        <v>159</v>
      </c>
      <c r="Q14" s="113" t="s">
        <v>119</v>
      </c>
      <c r="R14" s="107">
        <f>SUMIFS('Input keuzevariabelen'!$P:$P,'Input keuzevariabelen'!$M:$M,Data!H14)</f>
        <v>5.2199999999999998E-3</v>
      </c>
      <c r="S14" s="291">
        <f t="shared" si="2"/>
        <v>23307.3</v>
      </c>
    </row>
    <row r="15" spans="3:19" ht="16.5" thickTop="1" thickBot="1" x14ac:dyDescent="0.25">
      <c r="C15" s="141" t="s">
        <v>11</v>
      </c>
      <c r="D15" s="257">
        <f>VLOOKUP(C15,'Input keuzevariabelen'!$B:$C,2,FALSE)</f>
        <v>1</v>
      </c>
      <c r="E15" s="137">
        <v>2019</v>
      </c>
      <c r="F15" s="138" t="s">
        <v>13</v>
      </c>
      <c r="G15" s="106">
        <f>VLOOKUP(H15,'Input keuzevariabelen'!$F:$J,2,FALSE)</f>
        <v>2</v>
      </c>
      <c r="H15" s="115" t="s">
        <v>29</v>
      </c>
      <c r="I15" s="332">
        <v>19651233</v>
      </c>
      <c r="J15" s="288">
        <f t="shared" si="0"/>
        <v>19651233</v>
      </c>
      <c r="K15" s="107" t="str">
        <f>VLOOKUP(H15,'Input keuzevariabelen'!$F:$J,3,FALSE)</f>
        <v>kWh</v>
      </c>
      <c r="L15" s="107">
        <f>SUMIFS('Input keuzevariabelen'!$I:$I,'Input keuzevariabelen'!$F:$F,Data!H15,'Input keuzevariabelen'!$K:$K,Data!E15)</f>
        <v>649</v>
      </c>
      <c r="M15" s="107" t="str">
        <f>VLOOKUP(H15,'Input keuzevariabelen'!$F:$J,5,FALSE)</f>
        <v>gram CO2/kWh</v>
      </c>
      <c r="N15" s="284">
        <f t="shared" si="1"/>
        <v>12753.650217</v>
      </c>
      <c r="O15" s="112" t="s">
        <v>156</v>
      </c>
      <c r="P15" s="115" t="s">
        <v>158</v>
      </c>
      <c r="Q15" s="116" t="s">
        <v>119</v>
      </c>
      <c r="R15" s="107">
        <f>SUMIFS('Input keuzevariabelen'!$P:$P,'Input keuzevariabelen'!$M:$M,Data!H15)</f>
        <v>5.2199999999999998E-3</v>
      </c>
      <c r="S15" s="291">
        <f t="shared" si="2"/>
        <v>102579.43626</v>
      </c>
    </row>
    <row r="16" spans="3:19" ht="16.5" thickTop="1" thickBot="1" x14ac:dyDescent="0.25">
      <c r="C16" s="141" t="s">
        <v>11</v>
      </c>
      <c r="D16" s="257">
        <f>VLOOKUP(C16,'Input keuzevariabelen'!$B:$C,2,FALSE)</f>
        <v>1</v>
      </c>
      <c r="E16" s="137">
        <v>2019</v>
      </c>
      <c r="F16" s="138" t="s">
        <v>13</v>
      </c>
      <c r="G16" s="106">
        <f>VLOOKUP(H16,'Input keuzevariabelen'!$F:$J,2,FALSE)</f>
        <v>2</v>
      </c>
      <c r="H16" s="115" t="s">
        <v>31</v>
      </c>
      <c r="I16" s="332">
        <v>1175145</v>
      </c>
      <c r="J16" s="288">
        <f t="shared" si="0"/>
        <v>1175145</v>
      </c>
      <c r="K16" s="107" t="str">
        <f>VLOOKUP(H16,'Input keuzevariabelen'!$F:$J,3,FALSE)</f>
        <v>kWh</v>
      </c>
      <c r="L16" s="107">
        <f>SUMIFS('Input keuzevariabelen'!$I:$I,'Input keuzevariabelen'!$F:$F,Data!H16,'Input keuzevariabelen'!$K:$K,Data!E16)</f>
        <v>0</v>
      </c>
      <c r="M16" s="107" t="str">
        <f>VLOOKUP(H16,'Input keuzevariabelen'!$F:$J,5,FALSE)</f>
        <v>gram CO2/kWh</v>
      </c>
      <c r="N16" s="284">
        <f t="shared" si="1"/>
        <v>0</v>
      </c>
      <c r="O16" s="112" t="s">
        <v>156</v>
      </c>
      <c r="P16" s="115" t="s">
        <v>160</v>
      </c>
      <c r="Q16" s="116" t="s">
        <v>118</v>
      </c>
      <c r="R16" s="107">
        <f>SUMIFS('Input keuzevariabelen'!$P:$P,'Input keuzevariabelen'!$M:$M,Data!H16)</f>
        <v>5.2199999999999998E-3</v>
      </c>
      <c r="S16" s="291">
        <f t="shared" si="2"/>
        <v>6134.2568999999994</v>
      </c>
    </row>
    <row r="17" spans="3:19" ht="16.5" thickTop="1" thickBot="1" x14ac:dyDescent="0.25">
      <c r="C17" s="140" t="s">
        <v>11</v>
      </c>
      <c r="D17" s="257">
        <f>VLOOKUP(C17,'Input keuzevariabelen'!$B:$C,2,FALSE)</f>
        <v>1</v>
      </c>
      <c r="E17" s="137">
        <v>2019</v>
      </c>
      <c r="F17" s="138" t="s">
        <v>13</v>
      </c>
      <c r="G17" s="106">
        <f>VLOOKUP(H17,'Input keuzevariabelen'!$F:$J,2,FALSE)</f>
        <v>1</v>
      </c>
      <c r="H17" s="112" t="s">
        <v>21</v>
      </c>
      <c r="I17" s="332">
        <v>32036</v>
      </c>
      <c r="J17" s="288">
        <f t="shared" si="0"/>
        <v>32036</v>
      </c>
      <c r="K17" s="107" t="str">
        <f>VLOOKUP(H17,'Input keuzevariabelen'!$F:$J,3,FALSE)</f>
        <v>m3</v>
      </c>
      <c r="L17" s="107">
        <f>SUMIFS('Input keuzevariabelen'!$I:$I,'Input keuzevariabelen'!$F:$F,Data!H17,'Input keuzevariabelen'!$K:$K,Data!E17)</f>
        <v>1890</v>
      </c>
      <c r="M17" s="107" t="str">
        <f>VLOOKUP(H17,'Input keuzevariabelen'!$F:$J,5,FALSE)</f>
        <v>gram CO2/m3</v>
      </c>
      <c r="N17" s="284">
        <f t="shared" si="1"/>
        <v>60.54804</v>
      </c>
      <c r="O17" s="112" t="s">
        <v>156</v>
      </c>
      <c r="P17" s="112" t="s">
        <v>161</v>
      </c>
      <c r="Q17" s="113" t="s">
        <v>120</v>
      </c>
      <c r="R17" s="107">
        <f>SUMIFS('Input keuzevariabelen'!$P:$P,'Input keuzevariabelen'!$M:$M,Data!H17)</f>
        <v>3.1649999999999998E-2</v>
      </c>
      <c r="S17" s="291">
        <f t="shared" si="2"/>
        <v>1013.9394</v>
      </c>
    </row>
    <row r="18" spans="3:19" ht="16.5" thickTop="1" thickBot="1" x14ac:dyDescent="0.25">
      <c r="C18" s="140" t="s">
        <v>11</v>
      </c>
      <c r="D18" s="257">
        <f>VLOOKUP(C18,'Input keuzevariabelen'!$B:$C,2,FALSE)</f>
        <v>1</v>
      </c>
      <c r="E18" s="137">
        <v>2019</v>
      </c>
      <c r="F18" s="138" t="s">
        <v>13</v>
      </c>
      <c r="G18" s="106">
        <f>VLOOKUP(H18,'Input keuzevariabelen'!$F:$J,2,FALSE)</f>
        <v>1</v>
      </c>
      <c r="H18" s="112" t="s">
        <v>21</v>
      </c>
      <c r="I18" s="332">
        <v>55816</v>
      </c>
      <c r="J18" s="288">
        <f t="shared" si="0"/>
        <v>55816</v>
      </c>
      <c r="K18" s="107" t="str">
        <f>VLOOKUP(H18,'Input keuzevariabelen'!$F:$J,3,FALSE)</f>
        <v>m3</v>
      </c>
      <c r="L18" s="107">
        <f>SUMIFS('Input keuzevariabelen'!$I:$I,'Input keuzevariabelen'!$F:$F,Data!H18,'Input keuzevariabelen'!$K:$K,Data!E18)</f>
        <v>1890</v>
      </c>
      <c r="M18" s="107" t="str">
        <f>VLOOKUP(H18,'Input keuzevariabelen'!$F:$J,5,FALSE)</f>
        <v>gram CO2/m3</v>
      </c>
      <c r="N18" s="284">
        <f t="shared" si="1"/>
        <v>105.49224</v>
      </c>
      <c r="O18" s="115" t="s">
        <v>156</v>
      </c>
      <c r="P18" s="112" t="s">
        <v>161</v>
      </c>
      <c r="Q18" s="113" t="s">
        <v>121</v>
      </c>
      <c r="R18" s="107">
        <f>SUMIFS('Input keuzevariabelen'!$P:$P,'Input keuzevariabelen'!$M:$M,Data!H18)</f>
        <v>3.1649999999999998E-2</v>
      </c>
      <c r="S18" s="291">
        <f t="shared" si="2"/>
        <v>1766.5763999999999</v>
      </c>
    </row>
    <row r="19" spans="3:19" ht="16.5" thickTop="1" thickBot="1" x14ac:dyDescent="0.25">
      <c r="C19" s="140" t="s">
        <v>11</v>
      </c>
      <c r="D19" s="257">
        <f>VLOOKUP(C19,'Input keuzevariabelen'!$B:$C,2,FALSE)</f>
        <v>1</v>
      </c>
      <c r="E19" s="137">
        <v>2019</v>
      </c>
      <c r="F19" s="138" t="s">
        <v>13</v>
      </c>
      <c r="G19" s="106">
        <f>VLOOKUP(H19,'Input keuzevariabelen'!$F:$J,2,FALSE)</f>
        <v>1</v>
      </c>
      <c r="H19" s="112" t="s">
        <v>21</v>
      </c>
      <c r="I19" s="332">
        <v>2662</v>
      </c>
      <c r="J19" s="288">
        <f t="shared" si="0"/>
        <v>2662</v>
      </c>
      <c r="K19" s="107" t="str">
        <f>VLOOKUP(H19,'Input keuzevariabelen'!$F:$J,3,FALSE)</f>
        <v>m3</v>
      </c>
      <c r="L19" s="107">
        <f>SUMIFS('Input keuzevariabelen'!$I:$I,'Input keuzevariabelen'!$F:$F,Data!H19,'Input keuzevariabelen'!$K:$K,Data!E19)</f>
        <v>1890</v>
      </c>
      <c r="M19" s="107" t="str">
        <f>VLOOKUP(H19,'Input keuzevariabelen'!$F:$J,5,FALSE)</f>
        <v>gram CO2/m3</v>
      </c>
      <c r="N19" s="284">
        <f t="shared" si="1"/>
        <v>5.03118</v>
      </c>
      <c r="O19" s="115" t="s">
        <v>156</v>
      </c>
      <c r="P19" s="112" t="s">
        <v>161</v>
      </c>
      <c r="Q19" s="113" t="s">
        <v>116</v>
      </c>
      <c r="R19" s="107">
        <f>SUMIFS('Input keuzevariabelen'!$P:$P,'Input keuzevariabelen'!$M:$M,Data!H19)</f>
        <v>3.1649999999999998E-2</v>
      </c>
      <c r="S19" s="291">
        <f t="shared" si="2"/>
        <v>84.252299999999991</v>
      </c>
    </row>
    <row r="20" spans="3:19" ht="16.5" thickTop="1" thickBot="1" x14ac:dyDescent="0.25">
      <c r="C20" s="140" t="s">
        <v>11</v>
      </c>
      <c r="D20" s="257">
        <f>VLOOKUP(C20,'Input keuzevariabelen'!$B:$C,2,FALSE)</f>
        <v>1</v>
      </c>
      <c r="E20" s="137">
        <v>2019</v>
      </c>
      <c r="F20" s="138" t="s">
        <v>13</v>
      </c>
      <c r="G20" s="106">
        <f>VLOOKUP(H20,'Input keuzevariabelen'!$F:$J,2,FALSE)</f>
        <v>1</v>
      </c>
      <c r="H20" s="112" t="s">
        <v>21</v>
      </c>
      <c r="I20" s="332">
        <v>9335</v>
      </c>
      <c r="J20" s="288">
        <f t="shared" si="0"/>
        <v>9335</v>
      </c>
      <c r="K20" s="107" t="str">
        <f>VLOOKUP(H20,'Input keuzevariabelen'!$F:$J,3,FALSE)</f>
        <v>m3</v>
      </c>
      <c r="L20" s="107">
        <f>SUMIFS('Input keuzevariabelen'!$I:$I,'Input keuzevariabelen'!$F:$F,Data!H20,'Input keuzevariabelen'!$K:$K,Data!E20)</f>
        <v>1890</v>
      </c>
      <c r="M20" s="107" t="str">
        <f>VLOOKUP(H20,'Input keuzevariabelen'!$F:$J,5,FALSE)</f>
        <v>gram CO2/m3</v>
      </c>
      <c r="N20" s="284">
        <f t="shared" si="1"/>
        <v>17.643149999999999</v>
      </c>
      <c r="O20" s="115" t="s">
        <v>156</v>
      </c>
      <c r="P20" s="112" t="s">
        <v>161</v>
      </c>
      <c r="Q20" s="113" t="s">
        <v>117</v>
      </c>
      <c r="R20" s="107">
        <f>SUMIFS('Input keuzevariabelen'!$P:$P,'Input keuzevariabelen'!$M:$M,Data!H20)</f>
        <v>3.1649999999999998E-2</v>
      </c>
      <c r="S20" s="291">
        <f t="shared" si="2"/>
        <v>295.45274999999998</v>
      </c>
    </row>
    <row r="21" spans="3:19" ht="16.5" thickTop="1" thickBot="1" x14ac:dyDescent="0.25">
      <c r="C21" s="141" t="s">
        <v>11</v>
      </c>
      <c r="D21" s="257">
        <f>VLOOKUP(C21,'Input keuzevariabelen'!$B:$C,2,FALSE)</f>
        <v>1</v>
      </c>
      <c r="E21" s="137">
        <v>2019</v>
      </c>
      <c r="F21" s="138" t="s">
        <v>13</v>
      </c>
      <c r="G21" s="106">
        <f>VLOOKUP(H21,'Input keuzevariabelen'!$F:$J,2,FALSE)</f>
        <v>1</v>
      </c>
      <c r="H21" s="112" t="s">
        <v>21</v>
      </c>
      <c r="I21" s="332">
        <v>423364</v>
      </c>
      <c r="J21" s="288">
        <f t="shared" si="0"/>
        <v>423364</v>
      </c>
      <c r="K21" s="107" t="str">
        <f>VLOOKUP(H21,'Input keuzevariabelen'!$F:$J,3,FALSE)</f>
        <v>m3</v>
      </c>
      <c r="L21" s="107">
        <f>SUMIFS('Input keuzevariabelen'!$I:$I,'Input keuzevariabelen'!$F:$F,Data!H21,'Input keuzevariabelen'!$K:$K,Data!E21)</f>
        <v>1890</v>
      </c>
      <c r="M21" s="107" t="str">
        <f>VLOOKUP(H21,'Input keuzevariabelen'!$F:$J,5,FALSE)</f>
        <v>gram CO2/m3</v>
      </c>
      <c r="N21" s="284">
        <f t="shared" si="1"/>
        <v>800.15796</v>
      </c>
      <c r="O21" s="115" t="s">
        <v>156</v>
      </c>
      <c r="P21" s="115" t="s">
        <v>161</v>
      </c>
      <c r="Q21" s="116" t="s">
        <v>118</v>
      </c>
      <c r="R21" s="107">
        <f>SUMIFS('Input keuzevariabelen'!$P:$P,'Input keuzevariabelen'!$M:$M,Data!H21)</f>
        <v>3.1649999999999998E-2</v>
      </c>
      <c r="S21" s="291">
        <f t="shared" si="2"/>
        <v>13399.470599999999</v>
      </c>
    </row>
    <row r="22" spans="3:19" ht="16.5" thickTop="1" thickBot="1" x14ac:dyDescent="0.25">
      <c r="C22" s="141" t="s">
        <v>11</v>
      </c>
      <c r="D22" s="257">
        <f>VLOOKUP(C22,'Input keuzevariabelen'!$B:$C,2,FALSE)</f>
        <v>1</v>
      </c>
      <c r="E22" s="137">
        <v>2019</v>
      </c>
      <c r="F22" s="138" t="s">
        <v>13</v>
      </c>
      <c r="G22" s="106">
        <f>VLOOKUP(H22,'Input keuzevariabelen'!$F:$J,2,FALSE)</f>
        <v>1</v>
      </c>
      <c r="H22" s="112" t="s">
        <v>21</v>
      </c>
      <c r="I22" s="332">
        <v>327133</v>
      </c>
      <c r="J22" s="288">
        <f t="shared" si="0"/>
        <v>327133</v>
      </c>
      <c r="K22" s="107" t="str">
        <f>VLOOKUP(H22,'Input keuzevariabelen'!$F:$J,3,FALSE)</f>
        <v>m3</v>
      </c>
      <c r="L22" s="107">
        <f>SUMIFS('Input keuzevariabelen'!$I:$I,'Input keuzevariabelen'!$F:$F,Data!H22,'Input keuzevariabelen'!$K:$K,Data!E22)</f>
        <v>1890</v>
      </c>
      <c r="M22" s="107" t="str">
        <f>VLOOKUP(H22,'Input keuzevariabelen'!$F:$J,5,FALSE)</f>
        <v>gram CO2/m3</v>
      </c>
      <c r="N22" s="284">
        <f t="shared" si="1"/>
        <v>618.28137000000004</v>
      </c>
      <c r="O22" s="115" t="s">
        <v>156</v>
      </c>
      <c r="P22" s="115" t="s">
        <v>161</v>
      </c>
      <c r="Q22" s="116" t="s">
        <v>119</v>
      </c>
      <c r="R22" s="107">
        <f>SUMIFS('Input keuzevariabelen'!$P:$P,'Input keuzevariabelen'!$M:$M,Data!H22)</f>
        <v>3.1649999999999998E-2</v>
      </c>
      <c r="S22" s="291">
        <f t="shared" si="2"/>
        <v>10353.75945</v>
      </c>
    </row>
    <row r="23" spans="3:19" ht="16.5" thickTop="1" thickBot="1" x14ac:dyDescent="0.25">
      <c r="C23" s="141" t="s">
        <v>11</v>
      </c>
      <c r="D23" s="257">
        <f>VLOOKUP(C23,'Input keuzevariabelen'!$B:$C,2,FALSE)</f>
        <v>1</v>
      </c>
      <c r="E23" s="137">
        <v>2019</v>
      </c>
      <c r="F23" s="138" t="s">
        <v>13</v>
      </c>
      <c r="G23" s="106" t="str">
        <f>VLOOKUP(H23,'Input keuzevariabelen'!$F:$J,2,FALSE)</f>
        <v>Memo</v>
      </c>
      <c r="H23" s="115" t="s">
        <v>48</v>
      </c>
      <c r="I23" s="332">
        <v>538873</v>
      </c>
      <c r="J23" s="288">
        <f t="shared" si="0"/>
        <v>538873</v>
      </c>
      <c r="K23" s="107" t="str">
        <f>VLOOKUP(H23,'Input keuzevariabelen'!$F:$J,3,FALSE)</f>
        <v>m3</v>
      </c>
      <c r="L23" s="107">
        <f>SUMIFS('Input keuzevariabelen'!$I:$I,'Input keuzevariabelen'!$F:$F,Data!H23,'Input keuzevariabelen'!$K:$K,Data!E23)</f>
        <v>1962</v>
      </c>
      <c r="M23" s="107" t="str">
        <f>VLOOKUP(H23,'Input keuzevariabelen'!$F:$J,5,FALSE)</f>
        <v>gram CO2/m3</v>
      </c>
      <c r="N23" s="284">
        <f t="shared" si="1"/>
        <v>1057.268826</v>
      </c>
      <c r="O23" s="115" t="s">
        <v>156</v>
      </c>
      <c r="P23" s="115" t="s">
        <v>162</v>
      </c>
      <c r="Q23" s="116" t="s">
        <v>116</v>
      </c>
      <c r="R23" s="107">
        <f>SUMIFS('Input keuzevariabelen'!$P:$P,'Input keuzevariabelen'!$M:$M,Data!H23)</f>
        <v>0</v>
      </c>
      <c r="S23" s="291">
        <f t="shared" si="2"/>
        <v>0</v>
      </c>
    </row>
    <row r="24" spans="3:19" ht="16.5" thickTop="1" thickBot="1" x14ac:dyDescent="0.25">
      <c r="C24" s="141" t="s">
        <v>11</v>
      </c>
      <c r="D24" s="257">
        <f>VLOOKUP(C24,'Input keuzevariabelen'!$B:$C,2,FALSE)</f>
        <v>1</v>
      </c>
      <c r="E24" s="137">
        <v>2019</v>
      </c>
      <c r="F24" s="138" t="s">
        <v>13</v>
      </c>
      <c r="G24" s="106" t="str">
        <f>VLOOKUP(H24,'Input keuzevariabelen'!$F:$J,2,FALSE)</f>
        <v>Memo</v>
      </c>
      <c r="H24" s="115" t="s">
        <v>48</v>
      </c>
      <c r="I24" s="332">
        <v>3109226</v>
      </c>
      <c r="J24" s="288">
        <f t="shared" si="0"/>
        <v>3109226</v>
      </c>
      <c r="K24" s="107" t="str">
        <f>VLOOKUP(H24,'Input keuzevariabelen'!$F:$J,3,FALSE)</f>
        <v>m3</v>
      </c>
      <c r="L24" s="107">
        <f>SUMIFS('Input keuzevariabelen'!$I:$I,'Input keuzevariabelen'!$F:$F,Data!H24,'Input keuzevariabelen'!$K:$K,Data!E24)</f>
        <v>1962</v>
      </c>
      <c r="M24" s="107" t="str">
        <f>VLOOKUP(H24,'Input keuzevariabelen'!$F:$J,5,FALSE)</f>
        <v>gram CO2/m3</v>
      </c>
      <c r="N24" s="284">
        <f t="shared" si="1"/>
        <v>6100.3014119999998</v>
      </c>
      <c r="O24" s="115" t="s">
        <v>156</v>
      </c>
      <c r="P24" s="115" t="s">
        <v>162</v>
      </c>
      <c r="Q24" s="116" t="s">
        <v>117</v>
      </c>
      <c r="R24" s="107">
        <f>SUMIFS('Input keuzevariabelen'!$P:$P,'Input keuzevariabelen'!$M:$M,Data!H24)</f>
        <v>0</v>
      </c>
      <c r="S24" s="291">
        <f t="shared" si="2"/>
        <v>0</v>
      </c>
    </row>
    <row r="25" spans="3:19" ht="16.5" thickTop="1" thickBot="1" x14ac:dyDescent="0.25">
      <c r="C25" s="141" t="s">
        <v>11</v>
      </c>
      <c r="D25" s="257">
        <f>VLOOKUP(C25,'Input keuzevariabelen'!$B:$C,2,FALSE)</f>
        <v>1</v>
      </c>
      <c r="E25" s="137">
        <v>2019</v>
      </c>
      <c r="F25" s="138" t="s">
        <v>13</v>
      </c>
      <c r="G25" s="106" t="str">
        <f>VLOOKUP(H25,'Input keuzevariabelen'!$F:$J,2,FALSE)</f>
        <v>Memo</v>
      </c>
      <c r="H25" s="115" t="s">
        <v>48</v>
      </c>
      <c r="I25" s="332">
        <v>4599007</v>
      </c>
      <c r="J25" s="288">
        <f t="shared" si="0"/>
        <v>4599007</v>
      </c>
      <c r="K25" s="107" t="str">
        <f>VLOOKUP(H25,'Input keuzevariabelen'!$F:$J,3,FALSE)</f>
        <v>m3</v>
      </c>
      <c r="L25" s="107">
        <f>SUMIFS('Input keuzevariabelen'!$I:$I,'Input keuzevariabelen'!$F:$F,Data!H25,'Input keuzevariabelen'!$K:$K,Data!E25)</f>
        <v>1962</v>
      </c>
      <c r="M25" s="107" t="str">
        <f>VLOOKUP(H25,'Input keuzevariabelen'!$F:$J,5,FALSE)</f>
        <v>gram CO2/m3</v>
      </c>
      <c r="N25" s="284">
        <f t="shared" si="1"/>
        <v>9023.2517339999995</v>
      </c>
      <c r="O25" s="115" t="s">
        <v>156</v>
      </c>
      <c r="P25" s="115" t="s">
        <v>162</v>
      </c>
      <c r="Q25" s="116" t="s">
        <v>119</v>
      </c>
      <c r="R25" s="107">
        <f>SUMIFS('Input keuzevariabelen'!$P:$P,'Input keuzevariabelen'!$M:$M,Data!H25)</f>
        <v>0</v>
      </c>
      <c r="S25" s="291">
        <f t="shared" si="2"/>
        <v>0</v>
      </c>
    </row>
    <row r="26" spans="3:19" ht="16.5" thickTop="1" thickBot="1" x14ac:dyDescent="0.25">
      <c r="C26" s="141" t="s">
        <v>11</v>
      </c>
      <c r="D26" s="257">
        <f>VLOOKUP(C26,'Input keuzevariabelen'!$B:$C,2,FALSE)</f>
        <v>1</v>
      </c>
      <c r="E26" s="137">
        <v>2019</v>
      </c>
      <c r="F26" s="138" t="s">
        <v>13</v>
      </c>
      <c r="G26" s="106" t="str">
        <f>VLOOKUP(H26,'Input keuzevariabelen'!$F:$J,2,FALSE)</f>
        <v>Memo</v>
      </c>
      <c r="H26" s="115" t="s">
        <v>50</v>
      </c>
      <c r="I26" s="332">
        <v>6410</v>
      </c>
      <c r="J26" s="288">
        <f t="shared" si="0"/>
        <v>6410</v>
      </c>
      <c r="K26" s="107" t="str">
        <f>VLOOKUP(H26,'Input keuzevariabelen'!$F:$J,3,FALSE)</f>
        <v>m3</v>
      </c>
      <c r="L26" s="107">
        <f>SUMIFS('Input keuzevariabelen'!$I:$I,'Input keuzevariabelen'!$F:$F,Data!H26,'Input keuzevariabelen'!$K:$K,Data!E26)</f>
        <v>1962</v>
      </c>
      <c r="M26" s="107" t="str">
        <f>VLOOKUP(H26,'Input keuzevariabelen'!$F:$J,5,FALSE)</f>
        <v>gram CO2/m3</v>
      </c>
      <c r="N26" s="284">
        <f t="shared" si="1"/>
        <v>12.576420000000001</v>
      </c>
      <c r="O26" s="115" t="s">
        <v>156</v>
      </c>
      <c r="P26" s="115" t="s">
        <v>163</v>
      </c>
      <c r="Q26" s="116" t="s">
        <v>116</v>
      </c>
      <c r="R26" s="107">
        <f>SUMIFS('Input keuzevariabelen'!$P:$P,'Input keuzevariabelen'!$M:$M,Data!H26)</f>
        <v>0</v>
      </c>
      <c r="S26" s="291">
        <f t="shared" si="2"/>
        <v>0</v>
      </c>
    </row>
    <row r="27" spans="3:19" ht="16.5" thickTop="1" thickBot="1" x14ac:dyDescent="0.25">
      <c r="C27" s="141" t="s">
        <v>11</v>
      </c>
      <c r="D27" s="257">
        <f>VLOOKUP(C27,'Input keuzevariabelen'!$B:$C,2,FALSE)</f>
        <v>1</v>
      </c>
      <c r="E27" s="137">
        <v>2019</v>
      </c>
      <c r="F27" s="138" t="s">
        <v>13</v>
      </c>
      <c r="G27" s="106" t="str">
        <f>VLOOKUP(H27,'Input keuzevariabelen'!$F:$J,2,FALSE)</f>
        <v>Memo</v>
      </c>
      <c r="H27" s="115" t="s">
        <v>50</v>
      </c>
      <c r="I27" s="332">
        <v>14568</v>
      </c>
      <c r="J27" s="288">
        <f t="shared" si="0"/>
        <v>14568</v>
      </c>
      <c r="K27" s="107" t="str">
        <f>VLOOKUP(H27,'Input keuzevariabelen'!$F:$J,3,FALSE)</f>
        <v>m3</v>
      </c>
      <c r="L27" s="107">
        <f>SUMIFS('Input keuzevariabelen'!$I:$I,'Input keuzevariabelen'!$F:$F,Data!H27,'Input keuzevariabelen'!$K:$K,Data!E27)</f>
        <v>1962</v>
      </c>
      <c r="M27" s="107" t="str">
        <f>VLOOKUP(H27,'Input keuzevariabelen'!$F:$J,5,FALSE)</f>
        <v>gram CO2/m3</v>
      </c>
      <c r="N27" s="284">
        <f t="shared" si="1"/>
        <v>28.582415999999998</v>
      </c>
      <c r="O27" s="112" t="s">
        <v>156</v>
      </c>
      <c r="P27" s="115" t="s">
        <v>163</v>
      </c>
      <c r="Q27" s="116" t="s">
        <v>117</v>
      </c>
      <c r="R27" s="107">
        <f>SUMIFS('Input keuzevariabelen'!$P:$P,'Input keuzevariabelen'!$M:$M,Data!H27)</f>
        <v>0</v>
      </c>
      <c r="S27" s="291">
        <f t="shared" si="2"/>
        <v>0</v>
      </c>
    </row>
    <row r="28" spans="3:19" ht="16.5" thickTop="1" thickBot="1" x14ac:dyDescent="0.25">
      <c r="C28" s="141" t="s">
        <v>11</v>
      </c>
      <c r="D28" s="257">
        <f>VLOOKUP(C28,'Input keuzevariabelen'!$B:$C,2,FALSE)</f>
        <v>1</v>
      </c>
      <c r="E28" s="137">
        <v>2019</v>
      </c>
      <c r="F28" s="138" t="s">
        <v>13</v>
      </c>
      <c r="G28" s="106" t="str">
        <f>VLOOKUP(H28,'Input keuzevariabelen'!$F:$J,2,FALSE)</f>
        <v>Memo</v>
      </c>
      <c r="H28" s="115" t="s">
        <v>50</v>
      </c>
      <c r="I28" s="332">
        <v>18947</v>
      </c>
      <c r="J28" s="288">
        <f t="shared" si="0"/>
        <v>18947</v>
      </c>
      <c r="K28" s="107" t="str">
        <f>VLOOKUP(H28,'Input keuzevariabelen'!$F:$J,3,FALSE)</f>
        <v>m3</v>
      </c>
      <c r="L28" s="107">
        <f>SUMIFS('Input keuzevariabelen'!$I:$I,'Input keuzevariabelen'!$F:$F,Data!H28,'Input keuzevariabelen'!$K:$K,Data!E28)</f>
        <v>1962</v>
      </c>
      <c r="M28" s="107" t="str">
        <f>VLOOKUP(H28,'Input keuzevariabelen'!$F:$J,5,FALSE)</f>
        <v>gram CO2/m3</v>
      </c>
      <c r="N28" s="284">
        <f t="shared" si="1"/>
        <v>37.174014</v>
      </c>
      <c r="O28" s="112" t="s">
        <v>156</v>
      </c>
      <c r="P28" s="115" t="s">
        <v>163</v>
      </c>
      <c r="Q28" s="116" t="s">
        <v>118</v>
      </c>
      <c r="R28" s="107">
        <f>SUMIFS('Input keuzevariabelen'!$P:$P,'Input keuzevariabelen'!$M:$M,Data!H28)</f>
        <v>0</v>
      </c>
      <c r="S28" s="291">
        <f t="shared" si="2"/>
        <v>0</v>
      </c>
    </row>
    <row r="29" spans="3:19" ht="16.5" thickTop="1" thickBot="1" x14ac:dyDescent="0.25">
      <c r="C29" s="141" t="s">
        <v>11</v>
      </c>
      <c r="D29" s="257">
        <f>VLOOKUP(C29,'Input keuzevariabelen'!$B:$C,2,FALSE)</f>
        <v>1</v>
      </c>
      <c r="E29" s="137">
        <v>2019</v>
      </c>
      <c r="F29" s="138" t="s">
        <v>13</v>
      </c>
      <c r="G29" s="106" t="str">
        <f>VLOOKUP(H29,'Input keuzevariabelen'!$F:$J,2,FALSE)</f>
        <v>Memo</v>
      </c>
      <c r="H29" s="115" t="s">
        <v>50</v>
      </c>
      <c r="I29" s="332">
        <v>54179</v>
      </c>
      <c r="J29" s="288">
        <f t="shared" si="0"/>
        <v>54179</v>
      </c>
      <c r="K29" s="107" t="str">
        <f>VLOOKUP(H29,'Input keuzevariabelen'!$F:$J,3,FALSE)</f>
        <v>m3</v>
      </c>
      <c r="L29" s="107">
        <f>SUMIFS('Input keuzevariabelen'!$I:$I,'Input keuzevariabelen'!$F:$F,Data!H29,'Input keuzevariabelen'!$K:$K,Data!E29)</f>
        <v>1962</v>
      </c>
      <c r="M29" s="107" t="str">
        <f>VLOOKUP(H29,'Input keuzevariabelen'!$F:$J,5,FALSE)</f>
        <v>gram CO2/m3</v>
      </c>
      <c r="N29" s="284">
        <f t="shared" si="1"/>
        <v>106.299198</v>
      </c>
      <c r="O29" s="112" t="s">
        <v>156</v>
      </c>
      <c r="P29" s="115" t="s">
        <v>163</v>
      </c>
      <c r="Q29" s="116" t="s">
        <v>119</v>
      </c>
      <c r="R29" s="107">
        <f>SUMIFS('Input keuzevariabelen'!$P:$P,'Input keuzevariabelen'!$M:$M,Data!H29)</f>
        <v>0</v>
      </c>
      <c r="S29" s="291">
        <f t="shared" si="2"/>
        <v>0</v>
      </c>
    </row>
    <row r="30" spans="3:19" ht="16.5" thickTop="1" thickBot="1" x14ac:dyDescent="0.25">
      <c r="C30" s="140" t="s">
        <v>11</v>
      </c>
      <c r="D30" s="257">
        <f>VLOOKUP(C30,'Input keuzevariabelen'!$B:$C,2,FALSE)</f>
        <v>1</v>
      </c>
      <c r="E30" s="137">
        <v>2019</v>
      </c>
      <c r="F30" s="138" t="s">
        <v>13</v>
      </c>
      <c r="G30" s="106">
        <f>VLOOKUP(H30,'Input keuzevariabelen'!$F:$J,2,FALSE)</f>
        <v>1</v>
      </c>
      <c r="H30" s="112" t="s">
        <v>23</v>
      </c>
      <c r="I30" s="332">
        <v>3111</v>
      </c>
      <c r="J30" s="288">
        <f t="shared" si="0"/>
        <v>3111</v>
      </c>
      <c r="K30" s="107" t="str">
        <f>VLOOKUP(H30,'Input keuzevariabelen'!$F:$J,3,FALSE)</f>
        <v>liter</v>
      </c>
      <c r="L30" s="107">
        <f>SUMIFS('Input keuzevariabelen'!$I:$I,'Input keuzevariabelen'!$F:$F,Data!H30,'Input keuzevariabelen'!$K:$K,Data!E30)</f>
        <v>3309</v>
      </c>
      <c r="M30" s="107" t="str">
        <f>VLOOKUP(H30,'Input keuzevariabelen'!$F:$J,5,FALSE)</f>
        <v>gram CO2/liter</v>
      </c>
      <c r="N30" s="284">
        <f t="shared" si="1"/>
        <v>10.294299000000001</v>
      </c>
      <c r="O30" s="112" t="s">
        <v>156</v>
      </c>
      <c r="P30" s="112" t="s">
        <v>164</v>
      </c>
      <c r="Q30" s="113" t="s">
        <v>119</v>
      </c>
      <c r="R30" s="107">
        <f>SUMIFS('Input keuzevariabelen'!$P:$P,'Input keuzevariabelen'!$M:$M,Data!H30)</f>
        <v>3.6299999999999999E-2</v>
      </c>
      <c r="S30" s="291">
        <f t="shared" si="2"/>
        <v>112.9293</v>
      </c>
    </row>
    <row r="31" spans="3:19" ht="16.5" thickTop="1" thickBot="1" x14ac:dyDescent="0.25">
      <c r="C31" s="140" t="s">
        <v>11</v>
      </c>
      <c r="D31" s="257">
        <f>VLOOKUP(C31,'Input keuzevariabelen'!$B:$C,2,FALSE)</f>
        <v>1</v>
      </c>
      <c r="E31" s="137">
        <v>2019</v>
      </c>
      <c r="F31" s="138" t="s">
        <v>13</v>
      </c>
      <c r="G31" s="106">
        <f>VLOOKUP(H31,'Input keuzevariabelen'!$F:$J,2,FALSE)</f>
        <v>1</v>
      </c>
      <c r="H31" s="112" t="s">
        <v>25</v>
      </c>
      <c r="I31" s="332">
        <v>28156</v>
      </c>
      <c r="J31" s="288">
        <f t="shared" si="0"/>
        <v>28156</v>
      </c>
      <c r="K31" s="107" t="str">
        <f>VLOOKUP(H31,'Input keuzevariabelen'!$F:$J,3,FALSE)</f>
        <v>liter</v>
      </c>
      <c r="L31" s="107">
        <f>SUMIFS('Input keuzevariabelen'!$I:$I,'Input keuzevariabelen'!$F:$F,Data!H31,'Input keuzevariabelen'!$K:$K,Data!E31)</f>
        <v>2884</v>
      </c>
      <c r="M31" s="107" t="str">
        <f>VLOOKUP(H31,'Input keuzevariabelen'!$F:$J,5,FALSE)</f>
        <v>gram CO2/liter</v>
      </c>
      <c r="N31" s="284">
        <f t="shared" si="1"/>
        <v>81.201903999999999</v>
      </c>
      <c r="O31" s="115" t="s">
        <v>165</v>
      </c>
      <c r="P31" s="112" t="s">
        <v>166</v>
      </c>
      <c r="Q31" s="113"/>
      <c r="R31" s="107">
        <f>SUMIFS('Input keuzevariabelen'!$P:$P,'Input keuzevariabelen'!$M:$M,Data!H31)</f>
        <v>3.1E-2</v>
      </c>
      <c r="S31" s="291">
        <f t="shared" si="2"/>
        <v>872.83600000000001</v>
      </c>
    </row>
    <row r="32" spans="3:19" ht="16.5" thickTop="1" thickBot="1" x14ac:dyDescent="0.25">
      <c r="C32" s="140" t="s">
        <v>11</v>
      </c>
      <c r="D32" s="257">
        <f>VLOOKUP(C32,'Input keuzevariabelen'!$B:$C,2,FALSE)</f>
        <v>1</v>
      </c>
      <c r="E32" s="137">
        <v>2019</v>
      </c>
      <c r="F32" s="138" t="s">
        <v>13</v>
      </c>
      <c r="G32" s="106">
        <f>VLOOKUP(H32,'Input keuzevariabelen'!$F:$J,2,FALSE)</f>
        <v>1</v>
      </c>
      <c r="H32" s="112" t="s">
        <v>23</v>
      </c>
      <c r="I32" s="332">
        <v>30866</v>
      </c>
      <c r="J32" s="288">
        <f t="shared" si="0"/>
        <v>30866</v>
      </c>
      <c r="K32" s="107" t="str">
        <f>VLOOKUP(H32,'Input keuzevariabelen'!$F:$J,3,FALSE)</f>
        <v>liter</v>
      </c>
      <c r="L32" s="107">
        <f>SUMIFS('Input keuzevariabelen'!$I:$I,'Input keuzevariabelen'!$F:$F,Data!H32,'Input keuzevariabelen'!$K:$K,Data!E32)</f>
        <v>3309</v>
      </c>
      <c r="M32" s="107" t="str">
        <f>VLOOKUP(H32,'Input keuzevariabelen'!$F:$J,5,FALSE)</f>
        <v>gram CO2/liter</v>
      </c>
      <c r="N32" s="284">
        <f t="shared" si="1"/>
        <v>102.135594</v>
      </c>
      <c r="O32" s="115" t="s">
        <v>165</v>
      </c>
      <c r="P32" s="112" t="s">
        <v>167</v>
      </c>
      <c r="Q32" s="113"/>
      <c r="R32" s="107">
        <f>SUMIFS('Input keuzevariabelen'!$P:$P,'Input keuzevariabelen'!$M:$M,Data!H32)</f>
        <v>3.6299999999999999E-2</v>
      </c>
      <c r="S32" s="291">
        <f t="shared" si="2"/>
        <v>1120.4358</v>
      </c>
    </row>
    <row r="33" spans="3:19" ht="16.5" thickTop="1" thickBot="1" x14ac:dyDescent="0.25">
      <c r="C33" s="140" t="s">
        <v>11</v>
      </c>
      <c r="D33" s="257">
        <f>VLOOKUP(C33,'Input keuzevariabelen'!$B:$C,2,FALSE)</f>
        <v>1</v>
      </c>
      <c r="E33" s="137">
        <v>2019</v>
      </c>
      <c r="F33" s="138" t="s">
        <v>13</v>
      </c>
      <c r="G33" s="106">
        <f>VLOOKUP(H33,'Input keuzevariabelen'!$F:$J,2,FALSE)</f>
        <v>2</v>
      </c>
      <c r="H33" s="112" t="s">
        <v>32</v>
      </c>
      <c r="I33" s="332">
        <v>143</v>
      </c>
      <c r="J33" s="288">
        <f t="shared" si="0"/>
        <v>143</v>
      </c>
      <c r="K33" s="107" t="str">
        <f>VLOOKUP(H33,'Input keuzevariabelen'!$F:$J,3,FALSE)</f>
        <v>kWh</v>
      </c>
      <c r="L33" s="107">
        <f>SUMIFS('Input keuzevariabelen'!$I:$I,'Input keuzevariabelen'!$F:$F,Data!H33,'Input keuzevariabelen'!$K:$K,Data!E33)</f>
        <v>649</v>
      </c>
      <c r="M33" s="107" t="str">
        <f>VLOOKUP(H33,'Input keuzevariabelen'!$F:$J,5,FALSE)</f>
        <v>gram CO2/kWh</v>
      </c>
      <c r="N33" s="284">
        <f t="shared" si="1"/>
        <v>9.2807000000000001E-2</v>
      </c>
      <c r="O33" s="115" t="s">
        <v>165</v>
      </c>
      <c r="P33" s="112" t="s">
        <v>168</v>
      </c>
      <c r="Q33" s="113"/>
      <c r="R33" s="107">
        <f>SUMIFS('Input keuzevariabelen'!$P:$P,'Input keuzevariabelen'!$M:$M,Data!H33)</f>
        <v>5.2199999999999998E-3</v>
      </c>
      <c r="S33" s="291">
        <f t="shared" si="2"/>
        <v>0.74646000000000001</v>
      </c>
    </row>
    <row r="34" spans="3:19" ht="16.5" thickTop="1" thickBot="1" x14ac:dyDescent="0.25">
      <c r="C34" s="141" t="s">
        <v>11</v>
      </c>
      <c r="D34" s="257">
        <f>VLOOKUP(C34,'Input keuzevariabelen'!$B:$C,2,FALSE)</f>
        <v>1</v>
      </c>
      <c r="E34" s="137">
        <v>2019</v>
      </c>
      <c r="F34" s="138" t="s">
        <v>13</v>
      </c>
      <c r="G34" s="106" t="str">
        <f>VLOOKUP(H34,'Input keuzevariabelen'!$F:$J,2,FALSE)</f>
        <v>bt</v>
      </c>
      <c r="H34" s="115" t="s">
        <v>38</v>
      </c>
      <c r="I34" s="332">
        <v>418249</v>
      </c>
      <c r="J34" s="288">
        <f t="shared" si="0"/>
        <v>418249</v>
      </c>
      <c r="K34" s="107" t="str">
        <f>VLOOKUP(H34,'Input keuzevariabelen'!$F:$J,3,FALSE)</f>
        <v>km</v>
      </c>
      <c r="L34" s="107">
        <f>SUMIFS('Input keuzevariabelen'!$I:$I,'Input keuzevariabelen'!$F:$F,Data!H34,'Input keuzevariabelen'!$K:$K,Data!E34)</f>
        <v>220</v>
      </c>
      <c r="M34" s="107" t="str">
        <f>VLOOKUP(H34,'Input keuzevariabelen'!$F:$J,5,FALSE)</f>
        <v>gram CO2/km</v>
      </c>
      <c r="N34" s="284">
        <f t="shared" si="1"/>
        <v>92.014780000000002</v>
      </c>
      <c r="O34" s="115" t="s">
        <v>165</v>
      </c>
      <c r="P34" s="115" t="s">
        <v>169</v>
      </c>
      <c r="Q34" s="116"/>
      <c r="R34" s="107">
        <f>SUMIFS('Input keuzevariabelen'!$P:$P,'Input keuzevariabelen'!$M:$M,Data!H34)</f>
        <v>0</v>
      </c>
      <c r="S34" s="291">
        <f t="shared" si="2"/>
        <v>0</v>
      </c>
    </row>
    <row r="35" spans="3:19" ht="16.5" thickTop="1" thickBot="1" x14ac:dyDescent="0.25">
      <c r="C35" s="141" t="s">
        <v>11</v>
      </c>
      <c r="D35" s="257">
        <f>VLOOKUP(C35,'Input keuzevariabelen'!$B:$C,2,FALSE)</f>
        <v>1</v>
      </c>
      <c r="E35" s="137">
        <v>2019</v>
      </c>
      <c r="F35" s="138" t="s">
        <v>13</v>
      </c>
      <c r="G35" s="106" t="str">
        <f>VLOOKUP(H35,'Input keuzevariabelen'!$F:$J,2,FALSE)</f>
        <v>bt</v>
      </c>
      <c r="H35" s="115" t="s">
        <v>38</v>
      </c>
      <c r="I35" s="332">
        <v>1700485</v>
      </c>
      <c r="J35" s="288">
        <f t="shared" si="0"/>
        <v>1700485</v>
      </c>
      <c r="K35" s="107" t="str">
        <f>VLOOKUP(H35,'Input keuzevariabelen'!$F:$J,3,FALSE)</f>
        <v>km</v>
      </c>
      <c r="L35" s="107">
        <f>SUMIFS('Input keuzevariabelen'!$I:$I,'Input keuzevariabelen'!$F:$F,Data!H35,'Input keuzevariabelen'!$K:$K,Data!E35)</f>
        <v>220</v>
      </c>
      <c r="M35" s="107" t="str">
        <f>VLOOKUP(H35,'Input keuzevariabelen'!$F:$J,5,FALSE)</f>
        <v>gram CO2/km</v>
      </c>
      <c r="N35" s="284">
        <f t="shared" si="1"/>
        <v>374.10669999999999</v>
      </c>
      <c r="O35" s="112" t="s">
        <v>165</v>
      </c>
      <c r="P35" s="115" t="s">
        <v>170</v>
      </c>
      <c r="Q35" s="116"/>
      <c r="R35" s="107">
        <f>SUMIFS('Input keuzevariabelen'!$P:$P,'Input keuzevariabelen'!$M:$M,Data!H35)</f>
        <v>0</v>
      </c>
      <c r="S35" s="291">
        <f t="shared" si="2"/>
        <v>0</v>
      </c>
    </row>
    <row r="36" spans="3:19" ht="16.5" thickTop="1" thickBot="1" x14ac:dyDescent="0.25">
      <c r="C36" s="141" t="s">
        <v>11</v>
      </c>
      <c r="D36" s="257">
        <f>VLOOKUP(C36,'Input keuzevariabelen'!$B:$C,2,FALSE)</f>
        <v>1</v>
      </c>
      <c r="E36" s="137">
        <v>2019</v>
      </c>
      <c r="F36" s="138" t="s">
        <v>13</v>
      </c>
      <c r="G36" s="106" t="str">
        <f>VLOOKUP(H36,'Input keuzevariabelen'!$F:$J,2,FALSE)</f>
        <v>bt</v>
      </c>
      <c r="H36" s="115" t="s">
        <v>41</v>
      </c>
      <c r="I36" s="332">
        <f>212563/0.13</f>
        <v>1635100</v>
      </c>
      <c r="J36" s="288">
        <f t="shared" si="0"/>
        <v>1635100</v>
      </c>
      <c r="K36" s="107" t="str">
        <f>VLOOKUP(H36,'Input keuzevariabelen'!$F:$J,3,FALSE)</f>
        <v>km</v>
      </c>
      <c r="L36" s="107">
        <f>SUMIFS('Input keuzevariabelen'!$I:$I,'Input keuzevariabelen'!$F:$F,Data!H36,'Input keuzevariabelen'!$K:$K,Data!E36)</f>
        <v>6</v>
      </c>
      <c r="M36" s="107" t="str">
        <f>VLOOKUP(H36,'Input keuzevariabelen'!$F:$J,5,FALSE)</f>
        <v>gram CO2/km</v>
      </c>
      <c r="N36" s="284">
        <f t="shared" si="1"/>
        <v>9.8106000000000009</v>
      </c>
      <c r="O36" s="112" t="s">
        <v>165</v>
      </c>
      <c r="P36" s="115" t="s">
        <v>171</v>
      </c>
      <c r="Q36" s="116"/>
      <c r="R36" s="107">
        <f>SUMIFS('Input keuzevariabelen'!$P:$P,'Input keuzevariabelen'!$M:$M,Data!H36)</f>
        <v>0</v>
      </c>
      <c r="S36" s="291">
        <f t="shared" si="2"/>
        <v>0</v>
      </c>
    </row>
    <row r="37" spans="3:19" ht="16.5" thickTop="1" thickBot="1" x14ac:dyDescent="0.25">
      <c r="C37" s="141" t="s">
        <v>11</v>
      </c>
      <c r="D37" s="257">
        <f>VLOOKUP(C37,'Input keuzevariabelen'!$B:$C,2,FALSE)</f>
        <v>1</v>
      </c>
      <c r="E37" s="137">
        <v>2019</v>
      </c>
      <c r="F37" s="138" t="s">
        <v>13</v>
      </c>
      <c r="G37" s="106" t="str">
        <f>VLOOKUP(H37,'Input keuzevariabelen'!$F:$J,2,FALSE)</f>
        <v>bt</v>
      </c>
      <c r="H37" s="115" t="s">
        <v>42</v>
      </c>
      <c r="I37" s="332">
        <v>7774</v>
      </c>
      <c r="J37" s="288">
        <f t="shared" si="0"/>
        <v>7774</v>
      </c>
      <c r="K37" s="107" t="str">
        <f>VLOOKUP(H37,'Input keuzevariabelen'!$F:$J,3,FALSE)</f>
        <v>km</v>
      </c>
      <c r="L37" s="107">
        <f>SUMIFS('Input keuzevariabelen'!$I:$I,'Input keuzevariabelen'!$F:$F,Data!H37,'Input keuzevariabelen'!$K:$K,Data!E37)</f>
        <v>297</v>
      </c>
      <c r="M37" s="107" t="str">
        <f>VLOOKUP(H37,'Input keuzevariabelen'!$F:$J,5,FALSE)</f>
        <v>gram CO2/km</v>
      </c>
      <c r="N37" s="284">
        <f t="shared" si="1"/>
        <v>2.308878</v>
      </c>
      <c r="O37" s="112" t="s">
        <v>165</v>
      </c>
      <c r="P37" s="115"/>
      <c r="Q37" s="116"/>
      <c r="R37" s="107">
        <f>SUMIFS('Input keuzevariabelen'!$P:$P,'Input keuzevariabelen'!$M:$M,Data!H37)</f>
        <v>0</v>
      </c>
      <c r="S37" s="291">
        <f t="shared" si="2"/>
        <v>0</v>
      </c>
    </row>
    <row r="38" spans="3:19" ht="16.5" thickTop="1" thickBot="1" x14ac:dyDescent="0.25">
      <c r="C38" s="140" t="s">
        <v>11</v>
      </c>
      <c r="D38" s="257">
        <f>VLOOKUP(C38,'Input keuzevariabelen'!$B:$C,2,FALSE)</f>
        <v>1</v>
      </c>
      <c r="E38" s="137">
        <v>2019</v>
      </c>
      <c r="F38" s="138" t="s">
        <v>13</v>
      </c>
      <c r="G38" s="106" t="str">
        <f>VLOOKUP(H38,'Input keuzevariabelen'!$F:$J,2,FALSE)</f>
        <v>bt</v>
      </c>
      <c r="H38" s="112" t="s">
        <v>43</v>
      </c>
      <c r="I38" s="332">
        <v>5786</v>
      </c>
      <c r="J38" s="288">
        <f t="shared" si="0"/>
        <v>5786</v>
      </c>
      <c r="K38" s="107" t="str">
        <f>VLOOKUP(H38,'Input keuzevariabelen'!$F:$J,3,FALSE)</f>
        <v>km</v>
      </c>
      <c r="L38" s="107">
        <f>SUMIFS('Input keuzevariabelen'!$I:$I,'Input keuzevariabelen'!$F:$F,Data!H38,'Input keuzevariabelen'!$K:$K,Data!E38)</f>
        <v>200</v>
      </c>
      <c r="M38" s="107" t="str">
        <f>VLOOKUP(H38,'Input keuzevariabelen'!$F:$J,5,FALSE)</f>
        <v>gram CO2/km</v>
      </c>
      <c r="N38" s="284">
        <f t="shared" si="1"/>
        <v>1.1572</v>
      </c>
      <c r="O38" s="115" t="s">
        <v>165</v>
      </c>
      <c r="P38" s="112"/>
      <c r="Q38" s="113"/>
      <c r="R38" s="107">
        <f>SUMIFS('Input keuzevariabelen'!$P:$P,'Input keuzevariabelen'!$M:$M,Data!H38)</f>
        <v>0</v>
      </c>
      <c r="S38" s="291">
        <f t="shared" si="2"/>
        <v>0</v>
      </c>
    </row>
    <row r="39" spans="3:19" ht="16.5" thickTop="1" thickBot="1" x14ac:dyDescent="0.25">
      <c r="C39" s="140" t="s">
        <v>11</v>
      </c>
      <c r="D39" s="257">
        <f>VLOOKUP(C39,'Input keuzevariabelen'!$B:$C,2,FALSE)</f>
        <v>1</v>
      </c>
      <c r="E39" s="137">
        <v>2019</v>
      </c>
      <c r="F39" s="138" t="s">
        <v>13</v>
      </c>
      <c r="G39" s="106" t="str">
        <f>VLOOKUP(H39,'Input keuzevariabelen'!$F:$J,2,FALSE)</f>
        <v>bt</v>
      </c>
      <c r="H39" s="112" t="s">
        <v>44</v>
      </c>
      <c r="I39" s="332">
        <v>176578</v>
      </c>
      <c r="J39" s="288">
        <f t="shared" si="0"/>
        <v>176578</v>
      </c>
      <c r="K39" s="107" t="str">
        <f>VLOOKUP(H39,'Input keuzevariabelen'!$F:$J,3,FALSE)</f>
        <v>km</v>
      </c>
      <c r="L39" s="107">
        <f>SUMIFS('Input keuzevariabelen'!$I:$I,'Input keuzevariabelen'!$F:$F,Data!H39,'Input keuzevariabelen'!$K:$K,Data!E39)</f>
        <v>147</v>
      </c>
      <c r="M39" s="107" t="str">
        <f>VLOOKUP(H39,'Input keuzevariabelen'!$F:$J,5,FALSE)</f>
        <v>gram CO2/km</v>
      </c>
      <c r="N39" s="284">
        <f t="shared" si="1"/>
        <v>25.956966000000001</v>
      </c>
      <c r="O39" s="115" t="s">
        <v>165</v>
      </c>
      <c r="P39" s="112"/>
      <c r="Q39" s="113"/>
      <c r="R39" s="107">
        <f>SUMIFS('Input keuzevariabelen'!$P:$P,'Input keuzevariabelen'!$M:$M,Data!H39)</f>
        <v>0</v>
      </c>
      <c r="S39" s="291">
        <f t="shared" si="2"/>
        <v>0</v>
      </c>
    </row>
    <row r="40" spans="3:19" ht="16.5" thickTop="1" thickBot="1" x14ac:dyDescent="0.25">
      <c r="C40" s="140" t="s">
        <v>172</v>
      </c>
      <c r="D40" s="257">
        <f>VLOOKUP(C40,'Input keuzevariabelen'!$B:$C,2,FALSE)</f>
        <v>0.2</v>
      </c>
      <c r="E40" s="137">
        <v>2019</v>
      </c>
      <c r="F40" s="138" t="s">
        <v>13</v>
      </c>
      <c r="G40" s="106">
        <f>VLOOKUP(H40,'Input keuzevariabelen'!$F:$J,2,FALSE)</f>
        <v>1</v>
      </c>
      <c r="H40" s="112" t="s">
        <v>21</v>
      </c>
      <c r="I40" s="332">
        <f>283280</f>
        <v>283280</v>
      </c>
      <c r="J40" s="288">
        <f t="shared" si="0"/>
        <v>56656</v>
      </c>
      <c r="K40" s="107" t="str">
        <f>VLOOKUP(H40,'Input keuzevariabelen'!$F:$J,3,FALSE)</f>
        <v>m3</v>
      </c>
      <c r="L40" s="107">
        <f>SUMIFS('Input keuzevariabelen'!$I:$I,'Input keuzevariabelen'!$F:$F,Data!H40,'Input keuzevariabelen'!$K:$K,Data!E40)</f>
        <v>1890</v>
      </c>
      <c r="M40" s="107" t="str">
        <f>VLOOKUP(H40,'Input keuzevariabelen'!$F:$J,5,FALSE)</f>
        <v>gram CO2/m3</v>
      </c>
      <c r="N40" s="284">
        <f t="shared" si="1"/>
        <v>107.07984</v>
      </c>
      <c r="O40" s="115" t="s">
        <v>173</v>
      </c>
      <c r="P40" s="112"/>
      <c r="Q40" s="113" t="s">
        <v>122</v>
      </c>
      <c r="R40" s="107">
        <f>SUMIFS('Input keuzevariabelen'!$P:$P,'Input keuzevariabelen'!$M:$M,Data!H40)</f>
        <v>3.1649999999999998E-2</v>
      </c>
      <c r="S40" s="291">
        <f t="shared" si="2"/>
        <v>1793.1623999999999</v>
      </c>
    </row>
    <row r="41" spans="3:19" ht="16.5" thickTop="1" thickBot="1" x14ac:dyDescent="0.25">
      <c r="C41" s="140" t="s">
        <v>172</v>
      </c>
      <c r="D41" s="257">
        <f>VLOOKUP(C41,'Input keuzevariabelen'!$B:$C,2,FALSE)</f>
        <v>0.2</v>
      </c>
      <c r="E41" s="137">
        <v>2019</v>
      </c>
      <c r="F41" s="138" t="s">
        <v>13</v>
      </c>
      <c r="G41" s="106">
        <f>VLOOKUP(H41,'Input keuzevariabelen'!$F:$J,2,FALSE)</f>
        <v>2</v>
      </c>
      <c r="H41" s="112" t="s">
        <v>31</v>
      </c>
      <c r="I41" s="332">
        <f>19833000</f>
        <v>19833000</v>
      </c>
      <c r="J41" s="288">
        <f t="shared" si="0"/>
        <v>3966600</v>
      </c>
      <c r="K41" s="107" t="str">
        <f>VLOOKUP(H41,'Input keuzevariabelen'!$F:$J,3,FALSE)</f>
        <v>kWh</v>
      </c>
      <c r="L41" s="107">
        <f>SUMIFS('Input keuzevariabelen'!$I:$I,'Input keuzevariabelen'!$F:$F,Data!H41,'Input keuzevariabelen'!$K:$K,Data!E41)</f>
        <v>0</v>
      </c>
      <c r="M41" s="107" t="str">
        <f>VLOOKUP(H41,'Input keuzevariabelen'!$F:$J,5,FALSE)</f>
        <v>gram CO2/kWh</v>
      </c>
      <c r="N41" s="284">
        <f t="shared" si="1"/>
        <v>0</v>
      </c>
      <c r="O41" s="115" t="s">
        <v>173</v>
      </c>
      <c r="P41" s="115"/>
      <c r="Q41" s="116" t="s">
        <v>122</v>
      </c>
      <c r="R41" s="107">
        <f>SUMIFS('Input keuzevariabelen'!$P:$P,'Input keuzevariabelen'!$M:$M,Data!H41)</f>
        <v>5.2199999999999998E-3</v>
      </c>
      <c r="S41" s="291">
        <f t="shared" si="2"/>
        <v>20705.651999999998</v>
      </c>
    </row>
    <row r="42" spans="3:19" ht="16.5" thickTop="1" thickBot="1" x14ac:dyDescent="0.25">
      <c r="C42" s="140" t="s">
        <v>172</v>
      </c>
      <c r="D42" s="257">
        <f>VLOOKUP(C42,'Input keuzevariabelen'!$B:$C,2,FALSE)</f>
        <v>0.2</v>
      </c>
      <c r="E42" s="137">
        <v>2019</v>
      </c>
      <c r="F42" s="138" t="s">
        <v>13</v>
      </c>
      <c r="G42" s="106">
        <f>VLOOKUP(H42,'Input keuzevariabelen'!$F:$J,2,FALSE)</f>
        <v>2</v>
      </c>
      <c r="H42" s="112" t="s">
        <v>31</v>
      </c>
      <c r="I42" s="332">
        <f>3326000</f>
        <v>3326000</v>
      </c>
      <c r="J42" s="288">
        <f t="shared" si="0"/>
        <v>665200</v>
      </c>
      <c r="K42" s="107" t="str">
        <f>VLOOKUP(H42,'Input keuzevariabelen'!$F:$J,3,FALSE)</f>
        <v>kWh</v>
      </c>
      <c r="L42" s="107">
        <f>SUMIFS('Input keuzevariabelen'!$I:$I,'Input keuzevariabelen'!$F:$F,Data!H42,'Input keuzevariabelen'!$K:$K,Data!E42)</f>
        <v>0</v>
      </c>
      <c r="M42" s="107" t="str">
        <f>VLOOKUP(H42,'Input keuzevariabelen'!$F:$J,5,FALSE)</f>
        <v>gram CO2/kWh</v>
      </c>
      <c r="N42" s="284">
        <f t="shared" si="1"/>
        <v>0</v>
      </c>
      <c r="O42" s="115" t="s">
        <v>173</v>
      </c>
      <c r="P42" s="115"/>
      <c r="Q42" s="116" t="s">
        <v>122</v>
      </c>
      <c r="R42" s="107">
        <f>SUMIFS('Input keuzevariabelen'!$P:$P,'Input keuzevariabelen'!$M:$M,Data!H42)</f>
        <v>5.2199999999999998E-3</v>
      </c>
      <c r="S42" s="291">
        <f t="shared" si="2"/>
        <v>3472.3440000000001</v>
      </c>
    </row>
    <row r="43" spans="3:19" ht="16.5" thickTop="1" thickBot="1" x14ac:dyDescent="0.25">
      <c r="C43" s="141" t="s">
        <v>123</v>
      </c>
      <c r="D43" s="257">
        <f>VLOOKUP(C43,'Input keuzevariabelen'!$B:$C,2,FALSE)</f>
        <v>0.28599999999999998</v>
      </c>
      <c r="E43" s="137">
        <v>2019</v>
      </c>
      <c r="F43" s="138" t="s">
        <v>13</v>
      </c>
      <c r="G43" s="106">
        <f>VLOOKUP(H43,'Input keuzevariabelen'!$F:$J,2,FALSE)</f>
        <v>1</v>
      </c>
      <c r="H43" s="112" t="s">
        <v>21</v>
      </c>
      <c r="I43" s="332">
        <f>13682</f>
        <v>13682</v>
      </c>
      <c r="J43" s="288">
        <f t="shared" si="0"/>
        <v>3913.0519999999997</v>
      </c>
      <c r="K43" s="107" t="str">
        <f>VLOOKUP(H43,'Input keuzevariabelen'!$F:$J,3,FALSE)</f>
        <v>m3</v>
      </c>
      <c r="L43" s="107">
        <f>SUMIFS('Input keuzevariabelen'!$I:$I,'Input keuzevariabelen'!$F:$F,Data!H43,'Input keuzevariabelen'!$K:$K,Data!E43)</f>
        <v>1890</v>
      </c>
      <c r="M43" s="107" t="str">
        <f>VLOOKUP(H43,'Input keuzevariabelen'!$F:$J,5,FALSE)</f>
        <v>gram CO2/m3</v>
      </c>
      <c r="N43" s="284">
        <f t="shared" si="1"/>
        <v>7.3956682799999998</v>
      </c>
      <c r="O43" s="115" t="s">
        <v>174</v>
      </c>
      <c r="P43" s="115"/>
      <c r="Q43" s="116" t="s">
        <v>123</v>
      </c>
      <c r="R43" s="107">
        <f>SUMIFS('Input keuzevariabelen'!$P:$P,'Input keuzevariabelen'!$M:$M,Data!H43)</f>
        <v>3.1649999999999998E-2</v>
      </c>
      <c r="S43" s="291">
        <f t="shared" si="2"/>
        <v>123.84809579999998</v>
      </c>
    </row>
    <row r="44" spans="3:19" ht="16.5" thickTop="1" thickBot="1" x14ac:dyDescent="0.25">
      <c r="C44" s="141" t="s">
        <v>123</v>
      </c>
      <c r="D44" s="257">
        <f>VLOOKUP(C44,'Input keuzevariabelen'!$B:$C,2,FALSE)</f>
        <v>0.28599999999999998</v>
      </c>
      <c r="E44" s="137">
        <v>2019</v>
      </c>
      <c r="F44" s="138" t="s">
        <v>13</v>
      </c>
      <c r="G44" s="106">
        <f>VLOOKUP(H44,'Input keuzevariabelen'!$F:$J,2,FALSE)</f>
        <v>2</v>
      </c>
      <c r="H44" s="112" t="s">
        <v>29</v>
      </c>
      <c r="I44" s="332">
        <f>323879</f>
        <v>323879</v>
      </c>
      <c r="J44" s="288">
        <f t="shared" si="0"/>
        <v>92629.393999999986</v>
      </c>
      <c r="K44" s="107" t="str">
        <f>VLOOKUP(H44,'Input keuzevariabelen'!$F:$J,3,FALSE)</f>
        <v>kWh</v>
      </c>
      <c r="L44" s="107">
        <f>SUMIFS('Input keuzevariabelen'!$I:$I,'Input keuzevariabelen'!$F:$F,Data!H44,'Input keuzevariabelen'!$K:$K,Data!E44)</f>
        <v>649</v>
      </c>
      <c r="M44" s="107" t="str">
        <f>VLOOKUP(H44,'Input keuzevariabelen'!$F:$J,5,FALSE)</f>
        <v>gram CO2/kWh</v>
      </c>
      <c r="N44" s="284">
        <f t="shared" si="1"/>
        <v>60.116476705999993</v>
      </c>
      <c r="O44" s="115" t="s">
        <v>174</v>
      </c>
      <c r="P44" s="115"/>
      <c r="Q44" s="116" t="s">
        <v>123</v>
      </c>
      <c r="R44" s="107">
        <f>SUMIFS('Input keuzevariabelen'!$P:$P,'Input keuzevariabelen'!$M:$M,Data!H44)</f>
        <v>5.2199999999999998E-3</v>
      </c>
      <c r="S44" s="291">
        <f t="shared" si="2"/>
        <v>483.52543667999993</v>
      </c>
    </row>
    <row r="45" spans="3:19" ht="16.5" thickTop="1" thickBot="1" x14ac:dyDescent="0.25">
      <c r="C45" s="141" t="s">
        <v>124</v>
      </c>
      <c r="D45" s="257">
        <f>VLOOKUP(C45,'Input keuzevariabelen'!$B:$C,2,FALSE)</f>
        <v>0.111</v>
      </c>
      <c r="E45" s="137">
        <v>2019</v>
      </c>
      <c r="F45" s="138" t="s">
        <v>13</v>
      </c>
      <c r="G45" s="106">
        <f>VLOOKUP(H45,'Input keuzevariabelen'!$F:$J,2,FALSE)</f>
        <v>1</v>
      </c>
      <c r="H45" s="112" t="s">
        <v>21</v>
      </c>
      <c r="I45" s="332">
        <f>121243</f>
        <v>121243</v>
      </c>
      <c r="J45" s="288">
        <f t="shared" si="0"/>
        <v>13457.973</v>
      </c>
      <c r="K45" s="107" t="str">
        <f>VLOOKUP(H45,'Input keuzevariabelen'!$F:$J,3,FALSE)</f>
        <v>m3</v>
      </c>
      <c r="L45" s="107">
        <f>SUMIFS('Input keuzevariabelen'!$I:$I,'Input keuzevariabelen'!$F:$F,Data!H45,'Input keuzevariabelen'!$K:$K,Data!E45)</f>
        <v>1890</v>
      </c>
      <c r="M45" s="107" t="str">
        <f>VLOOKUP(H45,'Input keuzevariabelen'!$F:$J,5,FALSE)</f>
        <v>gram CO2/m3</v>
      </c>
      <c r="N45" s="284">
        <f t="shared" si="1"/>
        <v>25.435568969999999</v>
      </c>
      <c r="O45" s="115" t="s">
        <v>175</v>
      </c>
      <c r="P45" s="115"/>
      <c r="Q45" s="116" t="s">
        <v>124</v>
      </c>
      <c r="R45" s="107">
        <f>SUMIFS('Input keuzevariabelen'!$P:$P,'Input keuzevariabelen'!$M:$M,Data!H45)</f>
        <v>3.1649999999999998E-2</v>
      </c>
      <c r="S45" s="291">
        <f t="shared" si="2"/>
        <v>425.94484544999995</v>
      </c>
    </row>
    <row r="46" spans="3:19" ht="16.5" thickTop="1" thickBot="1" x14ac:dyDescent="0.25">
      <c r="C46" s="141" t="s">
        <v>124</v>
      </c>
      <c r="D46" s="257">
        <f>VLOOKUP(C46,'Input keuzevariabelen'!$B:$C,2,FALSE)</f>
        <v>0.111</v>
      </c>
      <c r="E46" s="137">
        <v>2019</v>
      </c>
      <c r="F46" s="138" t="s">
        <v>13</v>
      </c>
      <c r="G46" s="106">
        <f>VLOOKUP(H46,'Input keuzevariabelen'!$F:$J,2,FALSE)</f>
        <v>2</v>
      </c>
      <c r="H46" s="112" t="s">
        <v>31</v>
      </c>
      <c r="I46" s="332">
        <f>1212372</f>
        <v>1212372</v>
      </c>
      <c r="J46" s="288">
        <f t="shared" si="0"/>
        <v>134573.29200000002</v>
      </c>
      <c r="K46" s="107" t="str">
        <f>VLOOKUP(H46,'Input keuzevariabelen'!$F:$J,3,FALSE)</f>
        <v>kWh</v>
      </c>
      <c r="L46" s="107">
        <f>SUMIFS('Input keuzevariabelen'!$I:$I,'Input keuzevariabelen'!$F:$F,Data!H46,'Input keuzevariabelen'!$K:$K,Data!E46)</f>
        <v>0</v>
      </c>
      <c r="M46" s="107" t="str">
        <f>VLOOKUP(H46,'Input keuzevariabelen'!$F:$J,5,FALSE)</f>
        <v>gram CO2/kWh</v>
      </c>
      <c r="N46" s="284">
        <f t="shared" si="1"/>
        <v>0</v>
      </c>
      <c r="O46" s="115" t="s">
        <v>175</v>
      </c>
      <c r="P46" s="115"/>
      <c r="Q46" s="116" t="s">
        <v>124</v>
      </c>
      <c r="R46" s="107">
        <f>SUMIFS('Input keuzevariabelen'!$P:$P,'Input keuzevariabelen'!$M:$M,Data!H46)</f>
        <v>5.2199999999999998E-3</v>
      </c>
      <c r="S46" s="291">
        <f t="shared" si="2"/>
        <v>702.47258424000006</v>
      </c>
    </row>
    <row r="47" spans="3:19" ht="16.5" thickTop="1" thickBot="1" x14ac:dyDescent="0.25">
      <c r="C47" s="141" t="s">
        <v>124</v>
      </c>
      <c r="D47" s="257">
        <f>VLOOKUP(C47,'Input keuzevariabelen'!$B:$C,2,FALSE)</f>
        <v>0.111</v>
      </c>
      <c r="E47" s="137">
        <v>2019</v>
      </c>
      <c r="F47" s="138" t="s">
        <v>13</v>
      </c>
      <c r="G47" s="106">
        <f>VLOOKUP(H47,'Input keuzevariabelen'!$F:$J,2,FALSE)</f>
        <v>2</v>
      </c>
      <c r="H47" s="112" t="s">
        <v>32</v>
      </c>
      <c r="I47" s="332">
        <f>117</f>
        <v>117</v>
      </c>
      <c r="J47" s="288">
        <f t="shared" si="0"/>
        <v>12.987</v>
      </c>
      <c r="K47" s="107" t="str">
        <f>VLOOKUP(H47,'Input keuzevariabelen'!$F:$J,3,FALSE)</f>
        <v>kWh</v>
      </c>
      <c r="L47" s="107">
        <f>SUMIFS('Input keuzevariabelen'!$I:$I,'Input keuzevariabelen'!$F:$F,Data!H47,'Input keuzevariabelen'!$K:$K,Data!E47)</f>
        <v>649</v>
      </c>
      <c r="M47" s="107" t="str">
        <f>VLOOKUP(H47,'Input keuzevariabelen'!$F:$J,5,FALSE)</f>
        <v>gram CO2/kWh</v>
      </c>
      <c r="N47" s="284">
        <f t="shared" si="1"/>
        <v>8.428563E-3</v>
      </c>
      <c r="O47" s="115" t="s">
        <v>175</v>
      </c>
      <c r="P47" s="115"/>
      <c r="Q47" s="116" t="s">
        <v>124</v>
      </c>
      <c r="R47" s="107">
        <f>SUMIFS('Input keuzevariabelen'!$P:$P,'Input keuzevariabelen'!$M:$M,Data!H47)</f>
        <v>5.2199999999999998E-3</v>
      </c>
      <c r="S47" s="291">
        <f t="shared" si="2"/>
        <v>6.7792140000000001E-2</v>
      </c>
    </row>
    <row r="48" spans="3:19" ht="16.5" thickTop="1" thickBot="1" x14ac:dyDescent="0.25">
      <c r="C48" s="141" t="s">
        <v>124</v>
      </c>
      <c r="D48" s="257">
        <f>VLOOKUP(C48,'Input keuzevariabelen'!$B:$C,2,FALSE)</f>
        <v>0.111</v>
      </c>
      <c r="E48" s="137">
        <v>2019</v>
      </c>
      <c r="F48" s="138" t="s">
        <v>13</v>
      </c>
      <c r="G48" s="106">
        <f>VLOOKUP(H48,'Input keuzevariabelen'!$F:$J,2,FALSE)</f>
        <v>1</v>
      </c>
      <c r="H48" s="112" t="s">
        <v>23</v>
      </c>
      <c r="I48" s="332">
        <f>87942</f>
        <v>87942</v>
      </c>
      <c r="J48" s="288">
        <f t="shared" si="0"/>
        <v>9761.5619999999999</v>
      </c>
      <c r="K48" s="107" t="str">
        <f>VLOOKUP(H48,'Input keuzevariabelen'!$F:$J,3,FALSE)</f>
        <v>liter</v>
      </c>
      <c r="L48" s="107">
        <f>SUMIFS('Input keuzevariabelen'!$I:$I,'Input keuzevariabelen'!$F:$F,Data!H48,'Input keuzevariabelen'!$K:$K,Data!E48)</f>
        <v>3309</v>
      </c>
      <c r="M48" s="107" t="str">
        <f>VLOOKUP(H48,'Input keuzevariabelen'!$F:$J,5,FALSE)</f>
        <v>gram CO2/liter</v>
      </c>
      <c r="N48" s="284">
        <f t="shared" si="1"/>
        <v>32.301008658000001</v>
      </c>
      <c r="O48" s="115" t="s">
        <v>176</v>
      </c>
      <c r="P48" s="115"/>
      <c r="Q48" s="116" t="s">
        <v>124</v>
      </c>
      <c r="R48" s="107">
        <f>SUMIFS('Input keuzevariabelen'!$P:$P,'Input keuzevariabelen'!$M:$M,Data!H48)</f>
        <v>3.6299999999999999E-2</v>
      </c>
      <c r="S48" s="291">
        <f t="shared" si="2"/>
        <v>354.34470060000001</v>
      </c>
    </row>
    <row r="49" spans="3:19" ht="16.5" thickTop="1" thickBot="1" x14ac:dyDescent="0.25">
      <c r="C49" s="141" t="s">
        <v>124</v>
      </c>
      <c r="D49" s="257">
        <f>VLOOKUP(C49,'Input keuzevariabelen'!$B:$C,2,FALSE)</f>
        <v>0.111</v>
      </c>
      <c r="E49" s="137">
        <v>2019</v>
      </c>
      <c r="F49" s="138" t="s">
        <v>13</v>
      </c>
      <c r="G49" s="106">
        <f>VLOOKUP(H49,'Input keuzevariabelen'!$F:$J,2,FALSE)</f>
        <v>1</v>
      </c>
      <c r="H49" s="112" t="s">
        <v>25</v>
      </c>
      <c r="I49" s="332">
        <f>2682</f>
        <v>2682</v>
      </c>
      <c r="J49" s="288">
        <f t="shared" si="0"/>
        <v>297.702</v>
      </c>
      <c r="K49" s="107" t="str">
        <f>VLOOKUP(H49,'Input keuzevariabelen'!$F:$J,3,FALSE)</f>
        <v>liter</v>
      </c>
      <c r="L49" s="107">
        <f>SUMIFS('Input keuzevariabelen'!$I:$I,'Input keuzevariabelen'!$F:$F,Data!H49,'Input keuzevariabelen'!$K:$K,Data!E49)</f>
        <v>2884</v>
      </c>
      <c r="M49" s="107" t="str">
        <f>VLOOKUP(H49,'Input keuzevariabelen'!$F:$J,5,FALSE)</f>
        <v>gram CO2/liter</v>
      </c>
      <c r="N49" s="284">
        <f t="shared" si="1"/>
        <v>0.85857256799999992</v>
      </c>
      <c r="O49" s="115" t="s">
        <v>176</v>
      </c>
      <c r="P49" s="115"/>
      <c r="Q49" s="116" t="s">
        <v>124</v>
      </c>
      <c r="R49" s="107">
        <f>SUMIFS('Input keuzevariabelen'!$P:$P,'Input keuzevariabelen'!$M:$M,Data!H49)</f>
        <v>3.1E-2</v>
      </c>
      <c r="S49" s="291">
        <f t="shared" si="2"/>
        <v>9.2287619999999997</v>
      </c>
    </row>
    <row r="50" spans="3:19" ht="16.5" thickTop="1" thickBot="1" x14ac:dyDescent="0.25">
      <c r="C50" s="141" t="s">
        <v>124</v>
      </c>
      <c r="D50" s="257">
        <f>VLOOKUP(C50,'Input keuzevariabelen'!$B:$C,2,FALSE)</f>
        <v>0.111</v>
      </c>
      <c r="E50" s="137">
        <v>2019</v>
      </c>
      <c r="F50" s="138" t="s">
        <v>13</v>
      </c>
      <c r="G50" s="106" t="str">
        <f>VLOOKUP(H50,'Input keuzevariabelen'!$F:$J,2,FALSE)</f>
        <v>bt</v>
      </c>
      <c r="H50" s="112" t="s">
        <v>38</v>
      </c>
      <c r="I50" s="332">
        <f>(51572/0.19)</f>
        <v>271431.57894736843</v>
      </c>
      <c r="J50" s="288">
        <f t="shared" si="0"/>
        <v>30128.905263157896</v>
      </c>
      <c r="K50" s="107" t="str">
        <f>VLOOKUP(H50,'Input keuzevariabelen'!$F:$J,3,FALSE)</f>
        <v>km</v>
      </c>
      <c r="L50" s="107">
        <f>SUMIFS('Input keuzevariabelen'!$I:$I,'Input keuzevariabelen'!$F:$F,Data!H50,'Input keuzevariabelen'!$K:$K,Data!E50)</f>
        <v>220</v>
      </c>
      <c r="M50" s="107" t="str">
        <f>VLOOKUP(H50,'Input keuzevariabelen'!$F:$J,5,FALSE)</f>
        <v>gram CO2/km</v>
      </c>
      <c r="N50" s="284">
        <f t="shared" si="1"/>
        <v>6.628359157894737</v>
      </c>
      <c r="O50" s="115" t="s">
        <v>175</v>
      </c>
      <c r="P50" s="115"/>
      <c r="Q50" s="116" t="s">
        <v>124</v>
      </c>
      <c r="R50" s="107">
        <f>SUMIFS('Input keuzevariabelen'!$P:$P,'Input keuzevariabelen'!$M:$M,Data!H50)</f>
        <v>0</v>
      </c>
      <c r="S50" s="291">
        <f t="shared" si="2"/>
        <v>0</v>
      </c>
    </row>
    <row r="51" spans="3:19" ht="16.5" thickTop="1" thickBot="1" x14ac:dyDescent="0.25">
      <c r="C51" s="141" t="s">
        <v>124</v>
      </c>
      <c r="D51" s="257">
        <f>VLOOKUP(C51,'Input keuzevariabelen'!$B:$C,2,FALSE)</f>
        <v>0.111</v>
      </c>
      <c r="E51" s="137">
        <v>2019</v>
      </c>
      <c r="F51" s="138" t="s">
        <v>13</v>
      </c>
      <c r="G51" s="106" t="str">
        <f>VLOOKUP(H51,'Input keuzevariabelen'!$F:$J,2,FALSE)</f>
        <v>bt</v>
      </c>
      <c r="H51" s="112" t="s">
        <v>40</v>
      </c>
      <c r="I51" s="332">
        <f>(687/0.15)</f>
        <v>4580</v>
      </c>
      <c r="J51" s="288">
        <f t="shared" si="0"/>
        <v>508.38</v>
      </c>
      <c r="K51" s="107" t="str">
        <f>VLOOKUP(H51,'Input keuzevariabelen'!$F:$J,3,FALSE)</f>
        <v>km</v>
      </c>
      <c r="L51" s="107">
        <f>SUMIFS('Input keuzevariabelen'!$I:$I,'Input keuzevariabelen'!$F:$F,Data!H51,'Input keuzevariabelen'!$K:$K,Data!E51)</f>
        <v>36</v>
      </c>
      <c r="M51" s="107" t="str">
        <f>VLOOKUP(H51,'Input keuzevariabelen'!$F:$J,5,FALSE)</f>
        <v>gram CO2/km</v>
      </c>
      <c r="N51" s="284">
        <f t="shared" si="1"/>
        <v>1.8301680000000001E-2</v>
      </c>
      <c r="O51" s="115" t="s">
        <v>175</v>
      </c>
      <c r="P51" s="115"/>
      <c r="Q51" s="116" t="s">
        <v>124</v>
      </c>
      <c r="R51" s="107">
        <f>SUMIFS('Input keuzevariabelen'!$P:$P,'Input keuzevariabelen'!$M:$M,Data!H51)</f>
        <v>0</v>
      </c>
      <c r="S51" s="291">
        <f t="shared" si="2"/>
        <v>0</v>
      </c>
    </row>
    <row r="52" spans="3:19" ht="16.5" thickTop="1" thickBot="1" x14ac:dyDescent="0.25">
      <c r="C52" s="141"/>
      <c r="D52" s="257" t="e">
        <f>VLOOKUP(C52,'Input keuzevariabelen'!$B:$C,2,FALSE)</f>
        <v>#N/A</v>
      </c>
      <c r="E52" s="137"/>
      <c r="F52" s="142"/>
      <c r="G52" s="106" t="e">
        <f>VLOOKUP(H52,'Input keuzevariabelen'!$F:$J,2,FALSE)</f>
        <v>#N/A</v>
      </c>
      <c r="H52" s="112"/>
      <c r="I52" s="332"/>
      <c r="J52" s="288" t="e">
        <f t="shared" si="0"/>
        <v>#N/A</v>
      </c>
      <c r="K52" s="107" t="e">
        <f>VLOOKUP(H52,'Input keuzevariabelen'!$F:$J,3,FALSE)</f>
        <v>#N/A</v>
      </c>
      <c r="L52" s="107">
        <f>SUMIFS('Input keuzevariabelen'!$I:$I,'Input keuzevariabelen'!$F:$F,Data!H52,'Input keuzevariabelen'!$K:$K,Data!E52)</f>
        <v>0</v>
      </c>
      <c r="M52" s="107" t="e">
        <f>VLOOKUP(H52,'Input keuzevariabelen'!$F:$J,5,FALSE)</f>
        <v>#N/A</v>
      </c>
      <c r="N52" s="284" t="e">
        <f t="shared" si="1"/>
        <v>#N/A</v>
      </c>
      <c r="O52" s="115"/>
      <c r="P52" s="115"/>
      <c r="Q52" s="116"/>
      <c r="R52" s="107">
        <f>SUMIFS('Input keuzevariabelen'!$P:$P,'Input keuzevariabelen'!$M:$M,Data!H52)</f>
        <v>0</v>
      </c>
      <c r="S52" s="291" t="e">
        <f t="shared" si="2"/>
        <v>#N/A</v>
      </c>
    </row>
    <row r="53" spans="3:19" ht="16.5" thickTop="1" thickBot="1" x14ac:dyDescent="0.25">
      <c r="C53" s="141" t="s">
        <v>11</v>
      </c>
      <c r="D53" s="257">
        <f>VLOOKUP(C53,'Input keuzevariabelen'!$B:$C,2,FALSE)</f>
        <v>1</v>
      </c>
      <c r="E53" s="137">
        <v>2020</v>
      </c>
      <c r="F53" s="142" t="s">
        <v>13</v>
      </c>
      <c r="G53" s="106" t="str">
        <f>VLOOKUP(H53,'Input keuzevariabelen'!$F:$J,2,FALSE)</f>
        <v>KPI</v>
      </c>
      <c r="H53" s="112" t="s">
        <v>154</v>
      </c>
      <c r="I53" s="332">
        <f>153871840/1000</f>
        <v>153871.84</v>
      </c>
      <c r="J53" s="288">
        <f t="shared" si="0"/>
        <v>153871.84</v>
      </c>
      <c r="K53" s="107">
        <f>VLOOKUP(H53,'Input keuzevariabelen'!$F:$J,3,FALSE)</f>
        <v>0</v>
      </c>
      <c r="L53" s="107">
        <f>SUMIFS('Input keuzevariabelen'!$I:$I,'Input keuzevariabelen'!$F:$F,Data!H53,'Input keuzevariabelen'!$K:$K,Data!E53)</f>
        <v>0</v>
      </c>
      <c r="M53" s="107">
        <f>VLOOKUP(H53,'Input keuzevariabelen'!$F:$J,5,FALSE)</f>
        <v>0</v>
      </c>
      <c r="N53" s="284">
        <f t="shared" si="1"/>
        <v>0</v>
      </c>
      <c r="O53" s="115" t="s">
        <v>155</v>
      </c>
      <c r="P53" s="115"/>
      <c r="Q53" s="116"/>
      <c r="R53" s="107">
        <f>SUMIFS('Input keuzevariabelen'!$P:$P,'Input keuzevariabelen'!$M:$M,Data!H53)</f>
        <v>0</v>
      </c>
      <c r="S53" s="291">
        <f t="shared" si="2"/>
        <v>0</v>
      </c>
    </row>
    <row r="54" spans="3:19" ht="16.5" thickTop="1" thickBot="1" x14ac:dyDescent="0.25">
      <c r="C54" s="141" t="s">
        <v>11</v>
      </c>
      <c r="D54" s="257">
        <f>VLOOKUP(C54,'Input keuzevariabelen'!$B:$C,2,FALSE)</f>
        <v>1</v>
      </c>
      <c r="E54" s="137">
        <v>2020</v>
      </c>
      <c r="F54" s="142" t="s">
        <v>13</v>
      </c>
      <c r="G54" s="106">
        <f>VLOOKUP(H54,'Input keuzevariabelen'!$F:$J,2,FALSE)</f>
        <v>2</v>
      </c>
      <c r="H54" s="112" t="s">
        <v>31</v>
      </c>
      <c r="I54" s="332">
        <v>6160827</v>
      </c>
      <c r="J54" s="288">
        <f t="shared" si="0"/>
        <v>6160827</v>
      </c>
      <c r="K54" s="107" t="str">
        <f>VLOOKUP(H54,'Input keuzevariabelen'!$F:$J,3,FALSE)</f>
        <v>kWh</v>
      </c>
      <c r="L54" s="107">
        <f>SUMIFS('Input keuzevariabelen'!$I:$I,'Input keuzevariabelen'!$F:$F,Data!H54,'Input keuzevariabelen'!$K:$K,Data!E54)</f>
        <v>0</v>
      </c>
      <c r="M54" s="107" t="str">
        <f>VLOOKUP(H54,'Input keuzevariabelen'!$F:$J,5,FALSE)</f>
        <v>gram CO2/kWh</v>
      </c>
      <c r="N54" s="284">
        <f t="shared" si="1"/>
        <v>0</v>
      </c>
      <c r="O54" s="115" t="s">
        <v>177</v>
      </c>
      <c r="P54" s="115" t="s">
        <v>157</v>
      </c>
      <c r="Q54" s="116" t="s">
        <v>120</v>
      </c>
      <c r="R54" s="107">
        <f>SUMIFS('Input keuzevariabelen'!$P:$P,'Input keuzevariabelen'!$M:$M,Data!H54)</f>
        <v>5.2199999999999998E-3</v>
      </c>
      <c r="S54" s="291">
        <f t="shared" si="2"/>
        <v>32159.516939999998</v>
      </c>
    </row>
    <row r="55" spans="3:19" ht="16.5" thickTop="1" thickBot="1" x14ac:dyDescent="0.25">
      <c r="C55" s="141" t="s">
        <v>11</v>
      </c>
      <c r="D55" s="257">
        <f>VLOOKUP(C55,'Input keuzevariabelen'!$B:$C,2,FALSE)</f>
        <v>1</v>
      </c>
      <c r="E55" s="137">
        <v>2020</v>
      </c>
      <c r="F55" s="142" t="s">
        <v>13</v>
      </c>
      <c r="G55" s="106">
        <f>VLOOKUP(H55,'Input keuzevariabelen'!$F:$J,2,FALSE)</f>
        <v>2</v>
      </c>
      <c r="H55" s="112" t="s">
        <v>31</v>
      </c>
      <c r="I55" s="332">
        <v>451101</v>
      </c>
      <c r="J55" s="288">
        <f t="shared" si="0"/>
        <v>451101</v>
      </c>
      <c r="K55" s="107" t="str">
        <f>VLOOKUP(H55,'Input keuzevariabelen'!$F:$J,3,FALSE)</f>
        <v>kWh</v>
      </c>
      <c r="L55" s="107">
        <f>SUMIFS('Input keuzevariabelen'!$I:$I,'Input keuzevariabelen'!$F:$F,Data!H55,'Input keuzevariabelen'!$K:$K,Data!E55)</f>
        <v>0</v>
      </c>
      <c r="M55" s="107" t="str">
        <f>VLOOKUP(H55,'Input keuzevariabelen'!$F:$J,5,FALSE)</f>
        <v>gram CO2/kWh</v>
      </c>
      <c r="N55" s="284">
        <f t="shared" si="1"/>
        <v>0</v>
      </c>
      <c r="O55" s="115" t="s">
        <v>177</v>
      </c>
      <c r="P55" s="115" t="s">
        <v>157</v>
      </c>
      <c r="Q55" s="116" t="s">
        <v>121</v>
      </c>
      <c r="R55" s="107">
        <f>SUMIFS('Input keuzevariabelen'!$P:$P,'Input keuzevariabelen'!$M:$M,Data!H55)</f>
        <v>5.2199999999999998E-3</v>
      </c>
      <c r="S55" s="291">
        <f t="shared" si="2"/>
        <v>2354.7472199999997</v>
      </c>
    </row>
    <row r="56" spans="3:19" ht="16.5" thickTop="1" thickBot="1" x14ac:dyDescent="0.25">
      <c r="C56" s="141" t="s">
        <v>11</v>
      </c>
      <c r="D56" s="257">
        <f>VLOOKUP(C56,'Input keuzevariabelen'!$B:$C,2,FALSE)</f>
        <v>1</v>
      </c>
      <c r="E56" s="137">
        <v>2020</v>
      </c>
      <c r="F56" s="142" t="s">
        <v>13</v>
      </c>
      <c r="G56" s="106">
        <f>VLOOKUP(H56,'Input keuzevariabelen'!$F:$J,2,FALSE)</f>
        <v>2</v>
      </c>
      <c r="H56" s="112" t="s">
        <v>31</v>
      </c>
      <c r="I56" s="332">
        <v>2451325</v>
      </c>
      <c r="J56" s="288">
        <f t="shared" si="0"/>
        <v>2451325</v>
      </c>
      <c r="K56" s="107" t="str">
        <f>VLOOKUP(H56,'Input keuzevariabelen'!$F:$J,3,FALSE)</f>
        <v>kWh</v>
      </c>
      <c r="L56" s="107">
        <f>SUMIFS('Input keuzevariabelen'!$I:$I,'Input keuzevariabelen'!$F:$F,Data!H56,'Input keuzevariabelen'!$K:$K,Data!E56)</f>
        <v>0</v>
      </c>
      <c r="M56" s="107" t="str">
        <f>VLOOKUP(H56,'Input keuzevariabelen'!$F:$J,5,FALSE)</f>
        <v>gram CO2/kWh</v>
      </c>
      <c r="N56" s="284">
        <f t="shared" si="1"/>
        <v>0</v>
      </c>
      <c r="O56" s="115" t="s">
        <v>177</v>
      </c>
      <c r="P56" s="115" t="s">
        <v>157</v>
      </c>
      <c r="Q56" s="116" t="s">
        <v>116</v>
      </c>
      <c r="R56" s="107">
        <f>SUMIFS('Input keuzevariabelen'!$P:$P,'Input keuzevariabelen'!$M:$M,Data!H56)</f>
        <v>5.2199999999999998E-3</v>
      </c>
      <c r="S56" s="291">
        <f t="shared" si="2"/>
        <v>12795.916499999999</v>
      </c>
    </row>
    <row r="57" spans="3:19" ht="16.5" thickTop="1" thickBot="1" x14ac:dyDescent="0.25">
      <c r="C57" s="141" t="s">
        <v>11</v>
      </c>
      <c r="D57" s="257">
        <f>VLOOKUP(C57,'Input keuzevariabelen'!$B:$C,2,FALSE)</f>
        <v>1</v>
      </c>
      <c r="E57" s="137">
        <v>2020</v>
      </c>
      <c r="F57" s="142" t="s">
        <v>13</v>
      </c>
      <c r="G57" s="106">
        <f>VLOOKUP(H57,'Input keuzevariabelen'!$F:$J,2,FALSE)</f>
        <v>2</v>
      </c>
      <c r="H57" s="112" t="s">
        <v>29</v>
      </c>
      <c r="I57" s="333">
        <v>9641890</v>
      </c>
      <c r="J57" s="288">
        <f t="shared" si="0"/>
        <v>9641890</v>
      </c>
      <c r="K57" s="107" t="str">
        <f>VLOOKUP(H57,'Input keuzevariabelen'!$F:$J,3,FALSE)</f>
        <v>kWh</v>
      </c>
      <c r="L57" s="107">
        <f>SUMIFS('Input keuzevariabelen'!$I:$I,'Input keuzevariabelen'!$F:$F,Data!H57,'Input keuzevariabelen'!$K:$K,Data!E57)</f>
        <v>556</v>
      </c>
      <c r="M57" s="107" t="str">
        <f>VLOOKUP(H57,'Input keuzevariabelen'!$F:$J,5,FALSE)</f>
        <v>gram CO2/kWh</v>
      </c>
      <c r="N57" s="284">
        <f t="shared" si="1"/>
        <v>5360.89084</v>
      </c>
      <c r="O57" s="115" t="s">
        <v>177</v>
      </c>
      <c r="P57" s="115" t="s">
        <v>159</v>
      </c>
      <c r="Q57" s="116" t="s">
        <v>117</v>
      </c>
      <c r="R57" s="107">
        <f>SUMIFS('Input keuzevariabelen'!$P:$P,'Input keuzevariabelen'!$M:$M,Data!H57)</f>
        <v>5.2199999999999998E-3</v>
      </c>
      <c r="S57" s="291">
        <f t="shared" si="2"/>
        <v>50330.665799999995</v>
      </c>
    </row>
    <row r="58" spans="3:19" ht="16.5" thickTop="1" thickBot="1" x14ac:dyDescent="0.25">
      <c r="C58" s="141" t="s">
        <v>11</v>
      </c>
      <c r="D58" s="257">
        <f>VLOOKUP(C58,'Input keuzevariabelen'!$B:$C,2,FALSE)</f>
        <v>1</v>
      </c>
      <c r="E58" s="137">
        <v>2020</v>
      </c>
      <c r="F58" s="142" t="s">
        <v>13</v>
      </c>
      <c r="G58" s="106">
        <f>VLOOKUP(H58,'Input keuzevariabelen'!$F:$J,2,FALSE)</f>
        <v>2</v>
      </c>
      <c r="H58" s="112" t="s">
        <v>31</v>
      </c>
      <c r="I58" s="332">
        <v>8914312</v>
      </c>
      <c r="J58" s="288">
        <f t="shared" si="0"/>
        <v>8914312</v>
      </c>
      <c r="K58" s="107" t="str">
        <f>VLOOKUP(H58,'Input keuzevariabelen'!$F:$J,3,FALSE)</f>
        <v>kWh</v>
      </c>
      <c r="L58" s="107">
        <f>SUMIFS('Input keuzevariabelen'!$I:$I,'Input keuzevariabelen'!$F:$F,Data!H58,'Input keuzevariabelen'!$K:$K,Data!E58)</f>
        <v>0</v>
      </c>
      <c r="M58" s="107" t="str">
        <f>VLOOKUP(H58,'Input keuzevariabelen'!$F:$J,5,FALSE)</f>
        <v>gram CO2/kWh</v>
      </c>
      <c r="N58" s="284">
        <f t="shared" si="1"/>
        <v>0</v>
      </c>
      <c r="O58" s="115" t="s">
        <v>177</v>
      </c>
      <c r="P58" s="115" t="s">
        <v>157</v>
      </c>
      <c r="Q58" s="116" t="s">
        <v>118</v>
      </c>
      <c r="R58" s="107">
        <f>SUMIFS('Input keuzevariabelen'!$P:$P,'Input keuzevariabelen'!$M:$M,Data!H58)</f>
        <v>5.2199999999999998E-3</v>
      </c>
      <c r="S58" s="291">
        <f t="shared" si="2"/>
        <v>46532.708639999997</v>
      </c>
    </row>
    <row r="59" spans="3:19" ht="16.5" thickTop="1" thickBot="1" x14ac:dyDescent="0.25">
      <c r="C59" s="141" t="s">
        <v>11</v>
      </c>
      <c r="D59" s="257">
        <f>VLOOKUP(C59,'Input keuzevariabelen'!$B:$C,2,FALSE)</f>
        <v>1</v>
      </c>
      <c r="E59" s="137">
        <v>2020</v>
      </c>
      <c r="F59" s="142" t="s">
        <v>13</v>
      </c>
      <c r="G59" s="106">
        <f>VLOOKUP(H59,'Input keuzevariabelen'!$F:$J,2,FALSE)</f>
        <v>2</v>
      </c>
      <c r="H59" s="112" t="s">
        <v>29</v>
      </c>
      <c r="I59" s="333">
        <v>36219336</v>
      </c>
      <c r="J59" s="288">
        <f t="shared" si="0"/>
        <v>36219336</v>
      </c>
      <c r="K59" s="107" t="str">
        <f>VLOOKUP(H59,'Input keuzevariabelen'!$F:$J,3,FALSE)</f>
        <v>kWh</v>
      </c>
      <c r="L59" s="107">
        <f>SUMIFS('Input keuzevariabelen'!$I:$I,'Input keuzevariabelen'!$F:$F,Data!H59,'Input keuzevariabelen'!$K:$K,Data!E59)</f>
        <v>556</v>
      </c>
      <c r="M59" s="107" t="str">
        <f>VLOOKUP(H59,'Input keuzevariabelen'!$F:$J,5,FALSE)</f>
        <v>gram CO2/kWh</v>
      </c>
      <c r="N59" s="284">
        <f t="shared" si="1"/>
        <v>20137.950816</v>
      </c>
      <c r="O59" s="115" t="s">
        <v>177</v>
      </c>
      <c r="P59" s="115" t="s">
        <v>159</v>
      </c>
      <c r="Q59" s="116" t="s">
        <v>119</v>
      </c>
      <c r="R59" s="107">
        <f>SUMIFS('Input keuzevariabelen'!$P:$P,'Input keuzevariabelen'!$M:$M,Data!H59)</f>
        <v>5.2199999999999998E-3</v>
      </c>
      <c r="S59" s="291">
        <f t="shared" si="2"/>
        <v>189064.93391999998</v>
      </c>
    </row>
    <row r="60" spans="3:19" ht="16.5" thickTop="1" thickBot="1" x14ac:dyDescent="0.25">
      <c r="C60" s="141" t="s">
        <v>11</v>
      </c>
      <c r="D60" s="257">
        <f>VLOOKUP(C60,'Input keuzevariabelen'!$B:$C,2,FALSE)</f>
        <v>1</v>
      </c>
      <c r="E60" s="137">
        <v>2020</v>
      </c>
      <c r="F60" s="142" t="s">
        <v>13</v>
      </c>
      <c r="G60" s="106">
        <f>VLOOKUP(H60,'Input keuzevariabelen'!$F:$J,2,FALSE)</f>
        <v>2</v>
      </c>
      <c r="H60" s="112" t="s">
        <v>31</v>
      </c>
      <c r="I60" s="332">
        <v>7408</v>
      </c>
      <c r="J60" s="288">
        <f t="shared" si="0"/>
        <v>7408</v>
      </c>
      <c r="K60" s="107" t="str">
        <f>VLOOKUP(H60,'Input keuzevariabelen'!$F:$J,3,FALSE)</f>
        <v>kWh</v>
      </c>
      <c r="L60" s="107">
        <f>SUMIFS('Input keuzevariabelen'!$I:$I,'Input keuzevariabelen'!$F:$F,Data!H60,'Input keuzevariabelen'!$K:$K,Data!E60)</f>
        <v>0</v>
      </c>
      <c r="M60" s="107" t="str">
        <f>VLOOKUP(H60,'Input keuzevariabelen'!$F:$J,5,FALSE)</f>
        <v>gram CO2/kWh</v>
      </c>
      <c r="N60" s="284">
        <f t="shared" si="1"/>
        <v>0</v>
      </c>
      <c r="O60" s="115" t="s">
        <v>177</v>
      </c>
      <c r="P60" s="115" t="s">
        <v>178</v>
      </c>
      <c r="Q60" s="116" t="s">
        <v>119</v>
      </c>
      <c r="R60" s="107">
        <f>SUMIFS('Input keuzevariabelen'!$P:$P,'Input keuzevariabelen'!$M:$M,Data!H60)</f>
        <v>5.2199999999999998E-3</v>
      </c>
      <c r="S60" s="291">
        <f t="shared" si="2"/>
        <v>38.669759999999997</v>
      </c>
    </row>
    <row r="61" spans="3:19" ht="16.5" thickTop="1" thickBot="1" x14ac:dyDescent="0.25">
      <c r="C61" s="141" t="s">
        <v>11</v>
      </c>
      <c r="D61" s="257">
        <f>VLOOKUP(C61,'Input keuzevariabelen'!$B:$C,2,FALSE)</f>
        <v>1</v>
      </c>
      <c r="E61" s="137">
        <v>2020</v>
      </c>
      <c r="F61" s="142" t="s">
        <v>13</v>
      </c>
      <c r="G61" s="106">
        <f>VLOOKUP(H61,'Input keuzevariabelen'!$F:$J,2,FALSE)</f>
        <v>1</v>
      </c>
      <c r="H61" s="112" t="s">
        <v>21</v>
      </c>
      <c r="I61" s="332">
        <v>19840</v>
      </c>
      <c r="J61" s="288">
        <f t="shared" si="0"/>
        <v>19840</v>
      </c>
      <c r="K61" s="107" t="str">
        <f>VLOOKUP(H61,'Input keuzevariabelen'!$F:$J,3,FALSE)</f>
        <v>m3</v>
      </c>
      <c r="L61" s="107">
        <f>SUMIFS('Input keuzevariabelen'!$I:$I,'Input keuzevariabelen'!$F:$F,Data!H61,'Input keuzevariabelen'!$K:$K,Data!E61)</f>
        <v>1884</v>
      </c>
      <c r="M61" s="107" t="str">
        <f>VLOOKUP(H61,'Input keuzevariabelen'!$F:$J,5,FALSE)</f>
        <v>gram CO2/m3</v>
      </c>
      <c r="N61" s="284">
        <f t="shared" si="1"/>
        <v>37.37856</v>
      </c>
      <c r="O61" s="115" t="s">
        <v>177</v>
      </c>
      <c r="P61" s="115" t="s">
        <v>161</v>
      </c>
      <c r="Q61" s="116" t="s">
        <v>120</v>
      </c>
      <c r="R61" s="107">
        <f>SUMIFS('Input keuzevariabelen'!$P:$P,'Input keuzevariabelen'!$M:$M,Data!H61)</f>
        <v>3.1649999999999998E-2</v>
      </c>
      <c r="S61" s="291">
        <f t="shared" si="2"/>
        <v>627.93599999999992</v>
      </c>
    </row>
    <row r="62" spans="3:19" ht="16.5" thickTop="1" thickBot="1" x14ac:dyDescent="0.25">
      <c r="C62" s="141" t="s">
        <v>11</v>
      </c>
      <c r="D62" s="257">
        <f>VLOOKUP(C62,'Input keuzevariabelen'!$B:$C,2,FALSE)</f>
        <v>1</v>
      </c>
      <c r="E62" s="137">
        <v>2020</v>
      </c>
      <c r="F62" s="142" t="s">
        <v>13</v>
      </c>
      <c r="G62" s="106">
        <f>VLOOKUP(H62,'Input keuzevariabelen'!$F:$J,2,FALSE)</f>
        <v>1</v>
      </c>
      <c r="H62" s="112" t="s">
        <v>21</v>
      </c>
      <c r="I62" s="332">
        <v>58378</v>
      </c>
      <c r="J62" s="288">
        <f t="shared" si="0"/>
        <v>58378</v>
      </c>
      <c r="K62" s="107" t="str">
        <f>VLOOKUP(H62,'Input keuzevariabelen'!$F:$J,3,FALSE)</f>
        <v>m3</v>
      </c>
      <c r="L62" s="107">
        <f>SUMIFS('Input keuzevariabelen'!$I:$I,'Input keuzevariabelen'!$F:$F,Data!H62,'Input keuzevariabelen'!$K:$K,Data!E62)</f>
        <v>1884</v>
      </c>
      <c r="M62" s="107" t="str">
        <f>VLOOKUP(H62,'Input keuzevariabelen'!$F:$J,5,FALSE)</f>
        <v>gram CO2/m3</v>
      </c>
      <c r="N62" s="284">
        <f t="shared" si="1"/>
        <v>109.98415199999999</v>
      </c>
      <c r="O62" s="115" t="s">
        <v>177</v>
      </c>
      <c r="P62" s="115" t="s">
        <v>161</v>
      </c>
      <c r="Q62" s="116" t="s">
        <v>121</v>
      </c>
      <c r="R62" s="107">
        <f>SUMIFS('Input keuzevariabelen'!$P:$P,'Input keuzevariabelen'!$M:$M,Data!H62)</f>
        <v>3.1649999999999998E-2</v>
      </c>
      <c r="S62" s="291">
        <f t="shared" si="2"/>
        <v>1847.6636999999998</v>
      </c>
    </row>
    <row r="63" spans="3:19" ht="16.5" thickTop="1" thickBot="1" x14ac:dyDescent="0.25">
      <c r="C63" s="141" t="s">
        <v>11</v>
      </c>
      <c r="D63" s="257">
        <f>VLOOKUP(C63,'Input keuzevariabelen'!$B:$C,2,FALSE)</f>
        <v>1</v>
      </c>
      <c r="E63" s="137">
        <v>2020</v>
      </c>
      <c r="F63" s="142" t="s">
        <v>13</v>
      </c>
      <c r="G63" s="106">
        <f>VLOOKUP(H63,'Input keuzevariabelen'!$F:$J,2,FALSE)</f>
        <v>1</v>
      </c>
      <c r="H63" s="112" t="s">
        <v>21</v>
      </c>
      <c r="I63" s="332">
        <v>11050</v>
      </c>
      <c r="J63" s="288">
        <f t="shared" si="0"/>
        <v>11050</v>
      </c>
      <c r="K63" s="107" t="str">
        <f>VLOOKUP(H63,'Input keuzevariabelen'!$F:$J,3,FALSE)</f>
        <v>m3</v>
      </c>
      <c r="L63" s="107">
        <f>SUMIFS('Input keuzevariabelen'!$I:$I,'Input keuzevariabelen'!$F:$F,Data!H63,'Input keuzevariabelen'!$K:$K,Data!E63)</f>
        <v>1884</v>
      </c>
      <c r="M63" s="107" t="str">
        <f>VLOOKUP(H63,'Input keuzevariabelen'!$F:$J,5,FALSE)</f>
        <v>gram CO2/m3</v>
      </c>
      <c r="N63" s="284">
        <f t="shared" si="1"/>
        <v>20.818200000000001</v>
      </c>
      <c r="O63" s="115" t="s">
        <v>177</v>
      </c>
      <c r="P63" s="115" t="s">
        <v>161</v>
      </c>
      <c r="Q63" s="116" t="s">
        <v>116</v>
      </c>
      <c r="R63" s="107">
        <f>SUMIFS('Input keuzevariabelen'!$P:$P,'Input keuzevariabelen'!$M:$M,Data!H63)</f>
        <v>3.1649999999999998E-2</v>
      </c>
      <c r="S63" s="291">
        <f t="shared" si="2"/>
        <v>349.73249999999996</v>
      </c>
    </row>
    <row r="64" spans="3:19" ht="16.5" thickTop="1" thickBot="1" x14ac:dyDescent="0.25">
      <c r="C64" s="141" t="s">
        <v>11</v>
      </c>
      <c r="D64" s="257">
        <f>VLOOKUP(C64,'Input keuzevariabelen'!$B:$C,2,FALSE)</f>
        <v>1</v>
      </c>
      <c r="E64" s="137">
        <v>2020</v>
      </c>
      <c r="F64" s="142" t="s">
        <v>13</v>
      </c>
      <c r="G64" s="106">
        <f>VLOOKUP(H64,'Input keuzevariabelen'!$F:$J,2,FALSE)</f>
        <v>1</v>
      </c>
      <c r="H64" s="112" t="s">
        <v>21</v>
      </c>
      <c r="I64" s="332">
        <v>40029</v>
      </c>
      <c r="J64" s="288">
        <f t="shared" si="0"/>
        <v>40029</v>
      </c>
      <c r="K64" s="107" t="str">
        <f>VLOOKUP(H64,'Input keuzevariabelen'!$F:$J,3,FALSE)</f>
        <v>m3</v>
      </c>
      <c r="L64" s="107">
        <f>SUMIFS('Input keuzevariabelen'!$I:$I,'Input keuzevariabelen'!$F:$F,Data!H64,'Input keuzevariabelen'!$K:$K,Data!E64)</f>
        <v>1884</v>
      </c>
      <c r="M64" s="107" t="str">
        <f>VLOOKUP(H64,'Input keuzevariabelen'!$F:$J,5,FALSE)</f>
        <v>gram CO2/m3</v>
      </c>
      <c r="N64" s="284">
        <f t="shared" si="1"/>
        <v>75.414636000000002</v>
      </c>
      <c r="O64" s="115" t="s">
        <v>177</v>
      </c>
      <c r="P64" s="115" t="s">
        <v>161</v>
      </c>
      <c r="Q64" s="116" t="s">
        <v>117</v>
      </c>
      <c r="R64" s="107">
        <f>SUMIFS('Input keuzevariabelen'!$P:$P,'Input keuzevariabelen'!$M:$M,Data!H64)</f>
        <v>3.1649999999999998E-2</v>
      </c>
      <c r="S64" s="291">
        <f t="shared" si="2"/>
        <v>1266.9178499999998</v>
      </c>
    </row>
    <row r="65" spans="3:19" ht="16.5" thickTop="1" thickBot="1" x14ac:dyDescent="0.25">
      <c r="C65" s="141" t="s">
        <v>11</v>
      </c>
      <c r="D65" s="257">
        <f>VLOOKUP(C65,'Input keuzevariabelen'!$B:$C,2,FALSE)</f>
        <v>1</v>
      </c>
      <c r="E65" s="137">
        <v>2020</v>
      </c>
      <c r="F65" s="142" t="s">
        <v>13</v>
      </c>
      <c r="G65" s="106">
        <f>VLOOKUP(H65,'Input keuzevariabelen'!$F:$J,2,FALSE)</f>
        <v>1</v>
      </c>
      <c r="H65" s="112" t="s">
        <v>21</v>
      </c>
      <c r="I65" s="332">
        <v>447554</v>
      </c>
      <c r="J65" s="288">
        <f t="shared" si="0"/>
        <v>447554</v>
      </c>
      <c r="K65" s="107" t="str">
        <f>VLOOKUP(H65,'Input keuzevariabelen'!$F:$J,3,FALSE)</f>
        <v>m3</v>
      </c>
      <c r="L65" s="107">
        <f>SUMIFS('Input keuzevariabelen'!$I:$I,'Input keuzevariabelen'!$F:$F,Data!H65,'Input keuzevariabelen'!$K:$K,Data!E65)</f>
        <v>1884</v>
      </c>
      <c r="M65" s="107" t="str">
        <f>VLOOKUP(H65,'Input keuzevariabelen'!$F:$J,5,FALSE)</f>
        <v>gram CO2/m3</v>
      </c>
      <c r="N65" s="284">
        <f t="shared" si="1"/>
        <v>843.19173599999999</v>
      </c>
      <c r="O65" s="115" t="s">
        <v>177</v>
      </c>
      <c r="P65" s="115" t="s">
        <v>161</v>
      </c>
      <c r="Q65" s="116" t="s">
        <v>118</v>
      </c>
      <c r="R65" s="107">
        <f>SUMIFS('Input keuzevariabelen'!$P:$P,'Input keuzevariabelen'!$M:$M,Data!H65)</f>
        <v>3.1649999999999998E-2</v>
      </c>
      <c r="S65" s="291">
        <f t="shared" si="2"/>
        <v>14165.084099999998</v>
      </c>
    </row>
    <row r="66" spans="3:19" ht="16.5" thickTop="1" thickBot="1" x14ac:dyDescent="0.25">
      <c r="C66" s="141" t="s">
        <v>11</v>
      </c>
      <c r="D66" s="257">
        <f>VLOOKUP(C66,'Input keuzevariabelen'!$B:$C,2,FALSE)</f>
        <v>1</v>
      </c>
      <c r="E66" s="137">
        <v>2020</v>
      </c>
      <c r="F66" s="142" t="s">
        <v>13</v>
      </c>
      <c r="G66" s="106">
        <f>VLOOKUP(H66,'Input keuzevariabelen'!$F:$J,2,FALSE)</f>
        <v>1</v>
      </c>
      <c r="H66" s="112" t="s">
        <v>21</v>
      </c>
      <c r="I66" s="332">
        <v>924165</v>
      </c>
      <c r="J66" s="288">
        <f t="shared" si="0"/>
        <v>924165</v>
      </c>
      <c r="K66" s="107" t="str">
        <f>VLOOKUP(H66,'Input keuzevariabelen'!$F:$J,3,FALSE)</f>
        <v>m3</v>
      </c>
      <c r="L66" s="107">
        <f>SUMIFS('Input keuzevariabelen'!$I:$I,'Input keuzevariabelen'!$F:$F,Data!H66,'Input keuzevariabelen'!$K:$K,Data!E66)</f>
        <v>1884</v>
      </c>
      <c r="M66" s="107" t="str">
        <f>VLOOKUP(H66,'Input keuzevariabelen'!$F:$J,5,FALSE)</f>
        <v>gram CO2/m3</v>
      </c>
      <c r="N66" s="284">
        <f t="shared" si="1"/>
        <v>1741.1268600000001</v>
      </c>
      <c r="O66" s="115" t="s">
        <v>177</v>
      </c>
      <c r="P66" s="115" t="s">
        <v>161</v>
      </c>
      <c r="Q66" s="116" t="s">
        <v>119</v>
      </c>
      <c r="R66" s="107">
        <f>SUMIFS('Input keuzevariabelen'!$P:$P,'Input keuzevariabelen'!$M:$M,Data!H66)</f>
        <v>3.1649999999999998E-2</v>
      </c>
      <c r="S66" s="291">
        <f t="shared" si="2"/>
        <v>29249.822249999997</v>
      </c>
    </row>
    <row r="67" spans="3:19" ht="16.5" thickTop="1" thickBot="1" x14ac:dyDescent="0.25">
      <c r="C67" s="141" t="s">
        <v>11</v>
      </c>
      <c r="D67" s="257">
        <f>VLOOKUP(C67,'Input keuzevariabelen'!$B:$C,2,FALSE)</f>
        <v>1</v>
      </c>
      <c r="E67" s="137">
        <v>2020</v>
      </c>
      <c r="F67" s="142" t="s">
        <v>13</v>
      </c>
      <c r="G67" s="106" t="str">
        <f>VLOOKUP(H67,'Input keuzevariabelen'!$F:$J,2,FALSE)</f>
        <v>Memo</v>
      </c>
      <c r="H67" s="112" t="s">
        <v>48</v>
      </c>
      <c r="I67" s="332">
        <v>379756</v>
      </c>
      <c r="J67" s="288">
        <f t="shared" si="0"/>
        <v>379756</v>
      </c>
      <c r="K67" s="107" t="str">
        <f>VLOOKUP(H67,'Input keuzevariabelen'!$F:$J,3,FALSE)</f>
        <v>m3</v>
      </c>
      <c r="L67" s="107">
        <f>SUMIFS('Input keuzevariabelen'!$I:$I,'Input keuzevariabelen'!$F:$F,Data!H67,'Input keuzevariabelen'!$K:$K,Data!E67)</f>
        <v>1962</v>
      </c>
      <c r="M67" s="107" t="str">
        <f>VLOOKUP(H67,'Input keuzevariabelen'!$F:$J,5,FALSE)</f>
        <v>gram CO2/m3</v>
      </c>
      <c r="N67" s="284">
        <f t="shared" si="1"/>
        <v>745.08127200000001</v>
      </c>
      <c r="O67" s="115" t="s">
        <v>177</v>
      </c>
      <c r="P67" s="115" t="s">
        <v>162</v>
      </c>
      <c r="Q67" s="116" t="s">
        <v>116</v>
      </c>
      <c r="R67" s="107">
        <f>SUMIFS('Input keuzevariabelen'!$P:$P,'Input keuzevariabelen'!$M:$M,Data!H67)</f>
        <v>0</v>
      </c>
      <c r="S67" s="291">
        <f t="shared" si="2"/>
        <v>0</v>
      </c>
    </row>
    <row r="68" spans="3:19" ht="16.5" thickTop="1" thickBot="1" x14ac:dyDescent="0.25">
      <c r="C68" s="141" t="s">
        <v>11</v>
      </c>
      <c r="D68" s="257">
        <f>VLOOKUP(C68,'Input keuzevariabelen'!$B:$C,2,FALSE)</f>
        <v>1</v>
      </c>
      <c r="E68" s="137">
        <v>2020</v>
      </c>
      <c r="F68" s="142" t="s">
        <v>13</v>
      </c>
      <c r="G68" s="106" t="str">
        <f>VLOOKUP(H68,'Input keuzevariabelen'!$F:$J,2,FALSE)</f>
        <v>Memo</v>
      </c>
      <c r="H68" s="112" t="s">
        <v>48</v>
      </c>
      <c r="I68" s="332">
        <v>3080427</v>
      </c>
      <c r="J68" s="288">
        <f t="shared" si="0"/>
        <v>3080427</v>
      </c>
      <c r="K68" s="107" t="str">
        <f>VLOOKUP(H68,'Input keuzevariabelen'!$F:$J,3,FALSE)</f>
        <v>m3</v>
      </c>
      <c r="L68" s="107">
        <f>SUMIFS('Input keuzevariabelen'!$I:$I,'Input keuzevariabelen'!$F:$F,Data!H68,'Input keuzevariabelen'!$K:$K,Data!E68)</f>
        <v>1962</v>
      </c>
      <c r="M68" s="107" t="str">
        <f>VLOOKUP(H68,'Input keuzevariabelen'!$F:$J,5,FALSE)</f>
        <v>gram CO2/m3</v>
      </c>
      <c r="N68" s="284">
        <f t="shared" si="1"/>
        <v>6043.7977739999997</v>
      </c>
      <c r="O68" s="115" t="s">
        <v>177</v>
      </c>
      <c r="P68" s="115" t="s">
        <v>162</v>
      </c>
      <c r="Q68" s="116" t="s">
        <v>117</v>
      </c>
      <c r="R68" s="107">
        <f>SUMIFS('Input keuzevariabelen'!$P:$P,'Input keuzevariabelen'!$M:$M,Data!H68)</f>
        <v>0</v>
      </c>
      <c r="S68" s="291">
        <f t="shared" si="2"/>
        <v>0</v>
      </c>
    </row>
    <row r="69" spans="3:19" ht="16.5" thickTop="1" thickBot="1" x14ac:dyDescent="0.25">
      <c r="C69" s="141" t="s">
        <v>11</v>
      </c>
      <c r="D69" s="257">
        <f>VLOOKUP(C69,'Input keuzevariabelen'!$B:$C,2,FALSE)</f>
        <v>1</v>
      </c>
      <c r="E69" s="137">
        <v>2020</v>
      </c>
      <c r="F69" s="142" t="s">
        <v>13</v>
      </c>
      <c r="G69" s="106" t="str">
        <f>VLOOKUP(H69,'Input keuzevariabelen'!$F:$J,2,FALSE)</f>
        <v>Memo</v>
      </c>
      <c r="H69" s="112" t="s">
        <v>48</v>
      </c>
      <c r="I69" s="332">
        <v>418257</v>
      </c>
      <c r="J69" s="288">
        <f t="shared" si="0"/>
        <v>418257</v>
      </c>
      <c r="K69" s="107" t="str">
        <f>VLOOKUP(H69,'Input keuzevariabelen'!$F:$J,3,FALSE)</f>
        <v>m3</v>
      </c>
      <c r="L69" s="107">
        <f>SUMIFS('Input keuzevariabelen'!$I:$I,'Input keuzevariabelen'!$F:$F,Data!H69,'Input keuzevariabelen'!$K:$K,Data!E69)</f>
        <v>1962</v>
      </c>
      <c r="M69" s="107" t="str">
        <f>VLOOKUP(H69,'Input keuzevariabelen'!$F:$J,5,FALSE)</f>
        <v>gram CO2/m3</v>
      </c>
      <c r="N69" s="284">
        <f t="shared" si="1"/>
        <v>820.62023399999998</v>
      </c>
      <c r="O69" s="115" t="s">
        <v>177</v>
      </c>
      <c r="P69" s="115" t="s">
        <v>162</v>
      </c>
      <c r="Q69" s="116" t="s">
        <v>119</v>
      </c>
      <c r="R69" s="107">
        <f>SUMIFS('Input keuzevariabelen'!$P:$P,'Input keuzevariabelen'!$M:$M,Data!H69)</f>
        <v>0</v>
      </c>
      <c r="S69" s="291">
        <f t="shared" si="2"/>
        <v>0</v>
      </c>
    </row>
    <row r="70" spans="3:19" ht="16.5" thickTop="1" thickBot="1" x14ac:dyDescent="0.25">
      <c r="C70" s="141" t="s">
        <v>11</v>
      </c>
      <c r="D70" s="257">
        <f>VLOOKUP(C70,'Input keuzevariabelen'!$B:$C,2,FALSE)</f>
        <v>1</v>
      </c>
      <c r="E70" s="137">
        <v>2020</v>
      </c>
      <c r="F70" s="142" t="s">
        <v>13</v>
      </c>
      <c r="G70" s="106" t="str">
        <f>VLOOKUP(H70,'Input keuzevariabelen'!$F:$J,2,FALSE)</f>
        <v>Memo</v>
      </c>
      <c r="H70" s="112" t="s">
        <v>50</v>
      </c>
      <c r="I70" s="332">
        <v>9578</v>
      </c>
      <c r="J70" s="288">
        <f t="shared" si="0"/>
        <v>9578</v>
      </c>
      <c r="K70" s="107" t="str">
        <f>VLOOKUP(H70,'Input keuzevariabelen'!$F:$J,3,FALSE)</f>
        <v>m3</v>
      </c>
      <c r="L70" s="107">
        <f>SUMIFS('Input keuzevariabelen'!$I:$I,'Input keuzevariabelen'!$F:$F,Data!H70,'Input keuzevariabelen'!$K:$K,Data!E70)</f>
        <v>1962</v>
      </c>
      <c r="M70" s="107" t="str">
        <f>VLOOKUP(H70,'Input keuzevariabelen'!$F:$J,5,FALSE)</f>
        <v>gram CO2/m3</v>
      </c>
      <c r="N70" s="284">
        <f t="shared" si="1"/>
        <v>18.792036</v>
      </c>
      <c r="O70" s="115" t="s">
        <v>177</v>
      </c>
      <c r="P70" s="115" t="s">
        <v>163</v>
      </c>
      <c r="Q70" s="116" t="s">
        <v>116</v>
      </c>
      <c r="R70" s="107">
        <f>SUMIFS('Input keuzevariabelen'!$P:$P,'Input keuzevariabelen'!$M:$M,Data!H70)</f>
        <v>0</v>
      </c>
      <c r="S70" s="291">
        <f t="shared" si="2"/>
        <v>0</v>
      </c>
    </row>
    <row r="71" spans="3:19" ht="16.5" thickTop="1" thickBot="1" x14ac:dyDescent="0.25">
      <c r="C71" s="141" t="s">
        <v>11</v>
      </c>
      <c r="D71" s="257">
        <f>VLOOKUP(C71,'Input keuzevariabelen'!$B:$C,2,FALSE)</f>
        <v>1</v>
      </c>
      <c r="E71" s="137">
        <v>2020</v>
      </c>
      <c r="F71" s="142" t="s">
        <v>13</v>
      </c>
      <c r="G71" s="106" t="str">
        <f>VLOOKUP(H71,'Input keuzevariabelen'!$F:$J,2,FALSE)</f>
        <v>Memo</v>
      </c>
      <c r="H71" s="112" t="s">
        <v>50</v>
      </c>
      <c r="I71" s="332">
        <v>6452</v>
      </c>
      <c r="J71" s="288">
        <f t="shared" si="0"/>
        <v>6452</v>
      </c>
      <c r="K71" s="107" t="str">
        <f>VLOOKUP(H71,'Input keuzevariabelen'!$F:$J,3,FALSE)</f>
        <v>m3</v>
      </c>
      <c r="L71" s="107">
        <f>SUMIFS('Input keuzevariabelen'!$I:$I,'Input keuzevariabelen'!$F:$F,Data!H71,'Input keuzevariabelen'!$K:$K,Data!E71)</f>
        <v>1962</v>
      </c>
      <c r="M71" s="107" t="str">
        <f>VLOOKUP(H71,'Input keuzevariabelen'!$F:$J,5,FALSE)</f>
        <v>gram CO2/m3</v>
      </c>
      <c r="N71" s="284">
        <f t="shared" si="1"/>
        <v>12.658823999999999</v>
      </c>
      <c r="O71" s="115" t="s">
        <v>177</v>
      </c>
      <c r="P71" s="115" t="s">
        <v>163</v>
      </c>
      <c r="Q71" s="116" t="s">
        <v>117</v>
      </c>
      <c r="R71" s="107">
        <f>SUMIFS('Input keuzevariabelen'!$P:$P,'Input keuzevariabelen'!$M:$M,Data!H71)</f>
        <v>0</v>
      </c>
      <c r="S71" s="291">
        <f t="shared" si="2"/>
        <v>0</v>
      </c>
    </row>
    <row r="72" spans="3:19" ht="16.5" thickTop="1" thickBot="1" x14ac:dyDescent="0.25">
      <c r="C72" s="141" t="s">
        <v>11</v>
      </c>
      <c r="D72" s="257">
        <f>VLOOKUP(C72,'Input keuzevariabelen'!$B:$C,2,FALSE)</f>
        <v>1</v>
      </c>
      <c r="E72" s="137">
        <v>2020</v>
      </c>
      <c r="F72" s="142" t="s">
        <v>13</v>
      </c>
      <c r="G72" s="106" t="str">
        <f>VLOOKUP(H72,'Input keuzevariabelen'!$F:$J,2,FALSE)</f>
        <v>Memo</v>
      </c>
      <c r="H72" s="112" t="s">
        <v>50</v>
      </c>
      <c r="I72" s="332">
        <v>33635</v>
      </c>
      <c r="J72" s="288">
        <f t="shared" si="0"/>
        <v>33635</v>
      </c>
      <c r="K72" s="107" t="str">
        <f>VLOOKUP(H72,'Input keuzevariabelen'!$F:$J,3,FALSE)</f>
        <v>m3</v>
      </c>
      <c r="L72" s="107">
        <f>SUMIFS('Input keuzevariabelen'!$I:$I,'Input keuzevariabelen'!$F:$F,Data!H72,'Input keuzevariabelen'!$K:$K,Data!E72)</f>
        <v>1962</v>
      </c>
      <c r="M72" s="107" t="str">
        <f>VLOOKUP(H72,'Input keuzevariabelen'!$F:$J,5,FALSE)</f>
        <v>gram CO2/m3</v>
      </c>
      <c r="N72" s="284">
        <f t="shared" si="1"/>
        <v>65.991870000000006</v>
      </c>
      <c r="O72" s="115" t="s">
        <v>177</v>
      </c>
      <c r="P72" s="115" t="s">
        <v>163</v>
      </c>
      <c r="Q72" s="116" t="s">
        <v>118</v>
      </c>
      <c r="R72" s="107">
        <f>SUMIFS('Input keuzevariabelen'!$P:$P,'Input keuzevariabelen'!$M:$M,Data!H72)</f>
        <v>0</v>
      </c>
      <c r="S72" s="291">
        <f t="shared" si="2"/>
        <v>0</v>
      </c>
    </row>
    <row r="73" spans="3:19" ht="16.5" thickTop="1" thickBot="1" x14ac:dyDescent="0.25">
      <c r="C73" s="141" t="s">
        <v>11</v>
      </c>
      <c r="D73" s="257">
        <f>VLOOKUP(C73,'Input keuzevariabelen'!$B:$C,2,FALSE)</f>
        <v>1</v>
      </c>
      <c r="E73" s="137">
        <v>2020</v>
      </c>
      <c r="F73" s="142" t="s">
        <v>13</v>
      </c>
      <c r="G73" s="106" t="str">
        <f>VLOOKUP(H73,'Input keuzevariabelen'!$F:$J,2,FALSE)</f>
        <v>Memo</v>
      </c>
      <c r="H73" s="112" t="s">
        <v>50</v>
      </c>
      <c r="I73" s="332">
        <v>35970</v>
      </c>
      <c r="J73" s="288">
        <f t="shared" ref="J73:J135" si="3">I73*D73</f>
        <v>35970</v>
      </c>
      <c r="K73" s="107" t="str">
        <f>VLOOKUP(H73,'Input keuzevariabelen'!$F:$J,3,FALSE)</f>
        <v>m3</v>
      </c>
      <c r="L73" s="107">
        <f>SUMIFS('Input keuzevariabelen'!$I:$I,'Input keuzevariabelen'!$F:$F,Data!H73,'Input keuzevariabelen'!$K:$K,Data!E73)</f>
        <v>1962</v>
      </c>
      <c r="M73" s="107" t="str">
        <f>VLOOKUP(H73,'Input keuzevariabelen'!$F:$J,5,FALSE)</f>
        <v>gram CO2/m3</v>
      </c>
      <c r="N73" s="284">
        <f t="shared" ref="N73:N135" si="4">J73*L73/1000000</f>
        <v>70.573139999999995</v>
      </c>
      <c r="O73" s="115" t="s">
        <v>177</v>
      </c>
      <c r="P73" s="115" t="s">
        <v>163</v>
      </c>
      <c r="Q73" s="116" t="s">
        <v>119</v>
      </c>
      <c r="R73" s="107">
        <f>SUMIFS('Input keuzevariabelen'!$P:$P,'Input keuzevariabelen'!$M:$M,Data!H73)</f>
        <v>0</v>
      </c>
      <c r="S73" s="291">
        <f t="shared" ref="S73:S135" si="5">J73*R73</f>
        <v>0</v>
      </c>
    </row>
    <row r="74" spans="3:19" ht="16.5" thickTop="1" thickBot="1" x14ac:dyDescent="0.25">
      <c r="C74" s="141" t="s">
        <v>11</v>
      </c>
      <c r="D74" s="257">
        <f>VLOOKUP(C74,'Input keuzevariabelen'!$B:$C,2,FALSE)</f>
        <v>1</v>
      </c>
      <c r="E74" s="137">
        <v>2020</v>
      </c>
      <c r="F74" s="142" t="s">
        <v>13</v>
      </c>
      <c r="G74" s="106">
        <f>VLOOKUP(H74,'Input keuzevariabelen'!$F:$J,2,FALSE)</f>
        <v>1</v>
      </c>
      <c r="H74" s="112" t="s">
        <v>26</v>
      </c>
      <c r="I74" s="332">
        <v>600</v>
      </c>
      <c r="J74" s="288">
        <f t="shared" si="3"/>
        <v>600</v>
      </c>
      <c r="K74" s="107" t="str">
        <f>VLOOKUP(H74,'Input keuzevariabelen'!$F:$J,3,FALSE)</f>
        <v>m3</v>
      </c>
      <c r="L74" s="107">
        <f>SUMIFS('Input keuzevariabelen'!$I:$I,'Input keuzevariabelen'!$F:$F,Data!H74,'Input keuzevariabelen'!$K:$K,Data!E74)</f>
        <v>11050</v>
      </c>
      <c r="M74" s="107" t="str">
        <f>VLOOKUP(H74,'Input keuzevariabelen'!$F:$J,5,FALSE)</f>
        <v>gram CO2/m3</v>
      </c>
      <c r="N74" s="284">
        <f t="shared" si="4"/>
        <v>6.63</v>
      </c>
      <c r="O74" s="115" t="s">
        <v>177</v>
      </c>
      <c r="P74" s="115" t="s">
        <v>163</v>
      </c>
      <c r="Q74" s="116" t="s">
        <v>117</v>
      </c>
      <c r="R74" s="107">
        <f>SUMIFS('Input keuzevariabelen'!$P:$P,'Input keuzevariabelen'!$M:$M,Data!H74)</f>
        <v>2.3300000000000001E-2</v>
      </c>
      <c r="S74" s="291">
        <f t="shared" si="5"/>
        <v>13.98</v>
      </c>
    </row>
    <row r="75" spans="3:19" ht="16.5" thickTop="1" thickBot="1" x14ac:dyDescent="0.25">
      <c r="C75" s="141" t="s">
        <v>11</v>
      </c>
      <c r="D75" s="257">
        <f>VLOOKUP(C75,'Input keuzevariabelen'!$B:$C,2,FALSE)</f>
        <v>1</v>
      </c>
      <c r="E75" s="137">
        <v>2020</v>
      </c>
      <c r="F75" s="142" t="s">
        <v>13</v>
      </c>
      <c r="G75" s="106">
        <f>VLOOKUP(H75,'Input keuzevariabelen'!$F:$J,2,FALSE)</f>
        <v>1</v>
      </c>
      <c r="H75" s="112" t="s">
        <v>23</v>
      </c>
      <c r="I75" s="332">
        <v>4788</v>
      </c>
      <c r="J75" s="288">
        <f t="shared" si="3"/>
        <v>4788</v>
      </c>
      <c r="K75" s="107" t="str">
        <f>VLOOKUP(H75,'Input keuzevariabelen'!$F:$J,3,FALSE)</f>
        <v>liter</v>
      </c>
      <c r="L75" s="107">
        <f>SUMIFS('Input keuzevariabelen'!$I:$I,'Input keuzevariabelen'!$F:$F,Data!H75,'Input keuzevariabelen'!$K:$K,Data!E75)</f>
        <v>3262</v>
      </c>
      <c r="M75" s="107" t="str">
        <f>VLOOKUP(H75,'Input keuzevariabelen'!$F:$J,5,FALSE)</f>
        <v>gram CO2/liter</v>
      </c>
      <c r="N75" s="284">
        <f t="shared" si="4"/>
        <v>15.618456</v>
      </c>
      <c r="O75" s="115" t="s">
        <v>177</v>
      </c>
      <c r="P75" s="115" t="s">
        <v>164</v>
      </c>
      <c r="Q75" s="116" t="s">
        <v>119</v>
      </c>
      <c r="R75" s="107">
        <f>SUMIFS('Input keuzevariabelen'!$P:$P,'Input keuzevariabelen'!$M:$M,Data!H75)</f>
        <v>3.6299999999999999E-2</v>
      </c>
      <c r="S75" s="291">
        <f t="shared" si="5"/>
        <v>173.80439999999999</v>
      </c>
    </row>
    <row r="76" spans="3:19" ht="16.5" thickTop="1" thickBot="1" x14ac:dyDescent="0.25">
      <c r="C76" s="141" t="s">
        <v>11</v>
      </c>
      <c r="D76" s="257">
        <f>VLOOKUP(C76,'Input keuzevariabelen'!$B:$C,2,FALSE)</f>
        <v>1</v>
      </c>
      <c r="E76" s="137">
        <v>2020</v>
      </c>
      <c r="F76" s="142" t="s">
        <v>13</v>
      </c>
      <c r="G76" s="106">
        <f>VLOOKUP(H76,'Input keuzevariabelen'!$F:$J,2,FALSE)</f>
        <v>1</v>
      </c>
      <c r="H76" s="112" t="s">
        <v>25</v>
      </c>
      <c r="I76" s="332">
        <v>2406</v>
      </c>
      <c r="J76" s="288">
        <f t="shared" si="3"/>
        <v>2406</v>
      </c>
      <c r="K76" s="107" t="str">
        <f>VLOOKUP(H76,'Input keuzevariabelen'!$F:$J,3,FALSE)</f>
        <v>liter</v>
      </c>
      <c r="L76" s="107">
        <f>SUMIFS('Input keuzevariabelen'!$I:$I,'Input keuzevariabelen'!$F:$F,Data!H76,'Input keuzevariabelen'!$K:$K,Data!E76)</f>
        <v>2784</v>
      </c>
      <c r="M76" s="107" t="str">
        <f>VLOOKUP(H76,'Input keuzevariabelen'!$F:$J,5,FALSE)</f>
        <v>gram CO2/liter</v>
      </c>
      <c r="N76" s="284">
        <f t="shared" si="4"/>
        <v>6.6983040000000003</v>
      </c>
      <c r="O76" s="115" t="s">
        <v>179</v>
      </c>
      <c r="P76" s="115" t="s">
        <v>167</v>
      </c>
      <c r="Q76" s="116"/>
      <c r="R76" s="107">
        <f>SUMIFS('Input keuzevariabelen'!$P:$P,'Input keuzevariabelen'!$M:$M,Data!H76)</f>
        <v>3.1E-2</v>
      </c>
      <c r="S76" s="291">
        <f t="shared" si="5"/>
        <v>74.585999999999999</v>
      </c>
    </row>
    <row r="77" spans="3:19" ht="16.5" thickTop="1" thickBot="1" x14ac:dyDescent="0.25">
      <c r="C77" s="141" t="s">
        <v>11</v>
      </c>
      <c r="D77" s="257">
        <f>VLOOKUP(C77,'Input keuzevariabelen'!$B:$C,2,FALSE)</f>
        <v>1</v>
      </c>
      <c r="E77" s="137">
        <v>2020</v>
      </c>
      <c r="F77" s="142" t="s">
        <v>13</v>
      </c>
      <c r="G77" s="106">
        <f>VLOOKUP(H77,'Input keuzevariabelen'!$F:$J,2,FALSE)</f>
        <v>1</v>
      </c>
      <c r="H77" s="112" t="s">
        <v>23</v>
      </c>
      <c r="I77" s="332">
        <v>27692</v>
      </c>
      <c r="J77" s="288">
        <f t="shared" si="3"/>
        <v>27692</v>
      </c>
      <c r="K77" s="107" t="str">
        <f>VLOOKUP(H77,'Input keuzevariabelen'!$F:$J,3,FALSE)</f>
        <v>liter</v>
      </c>
      <c r="L77" s="107">
        <f>SUMIFS('Input keuzevariabelen'!$I:$I,'Input keuzevariabelen'!$F:$F,Data!H77,'Input keuzevariabelen'!$K:$K,Data!E77)</f>
        <v>3262</v>
      </c>
      <c r="M77" s="107" t="str">
        <f>VLOOKUP(H77,'Input keuzevariabelen'!$F:$J,5,FALSE)</f>
        <v>gram CO2/liter</v>
      </c>
      <c r="N77" s="284">
        <f t="shared" si="4"/>
        <v>90.331304000000003</v>
      </c>
      <c r="O77" s="115" t="s">
        <v>179</v>
      </c>
      <c r="P77" s="115" t="s">
        <v>168</v>
      </c>
      <c r="Q77" s="116"/>
      <c r="R77" s="107">
        <f>SUMIFS('Input keuzevariabelen'!$P:$P,'Input keuzevariabelen'!$M:$M,Data!H77)</f>
        <v>3.6299999999999999E-2</v>
      </c>
      <c r="S77" s="291">
        <f t="shared" si="5"/>
        <v>1005.2196</v>
      </c>
    </row>
    <row r="78" spans="3:19" ht="16.5" thickTop="1" thickBot="1" x14ac:dyDescent="0.25">
      <c r="C78" s="141" t="s">
        <v>11</v>
      </c>
      <c r="D78" s="257">
        <f>VLOOKUP(C78,'Input keuzevariabelen'!$B:$C,2,FALSE)</f>
        <v>1</v>
      </c>
      <c r="E78" s="137">
        <v>2020</v>
      </c>
      <c r="F78" s="142" t="s">
        <v>13</v>
      </c>
      <c r="G78" s="106">
        <f>VLOOKUP(H78,'Input keuzevariabelen'!$F:$J,2,FALSE)</f>
        <v>2</v>
      </c>
      <c r="H78" s="112" t="s">
        <v>32</v>
      </c>
      <c r="I78" s="332">
        <v>383</v>
      </c>
      <c r="J78" s="288">
        <f t="shared" si="3"/>
        <v>383</v>
      </c>
      <c r="K78" s="107" t="str">
        <f>VLOOKUP(H78,'Input keuzevariabelen'!$F:$J,3,FALSE)</f>
        <v>kWh</v>
      </c>
      <c r="L78" s="107">
        <f>SUMIFS('Input keuzevariabelen'!$I:$I,'Input keuzevariabelen'!$F:$F,Data!H78,'Input keuzevariabelen'!$K:$K,Data!E78)</f>
        <v>556</v>
      </c>
      <c r="M78" s="107" t="str">
        <f>VLOOKUP(H78,'Input keuzevariabelen'!$F:$J,5,FALSE)</f>
        <v>gram CO2/kWh</v>
      </c>
      <c r="N78" s="284">
        <f t="shared" si="4"/>
        <v>0.212948</v>
      </c>
      <c r="O78" s="115" t="s">
        <v>179</v>
      </c>
      <c r="P78" s="115" t="s">
        <v>157</v>
      </c>
      <c r="Q78" s="116"/>
      <c r="R78" s="107">
        <f>SUMIFS('Input keuzevariabelen'!$P:$P,'Input keuzevariabelen'!$M:$M,Data!H78)</f>
        <v>5.2199999999999998E-3</v>
      </c>
      <c r="S78" s="291">
        <f t="shared" si="5"/>
        <v>1.99926</v>
      </c>
    </row>
    <row r="79" spans="3:19" ht="16.5" thickTop="1" thickBot="1" x14ac:dyDescent="0.25">
      <c r="C79" s="141" t="s">
        <v>11</v>
      </c>
      <c r="D79" s="257">
        <f>VLOOKUP(C79,'Input keuzevariabelen'!$B:$C,2,FALSE)</f>
        <v>1</v>
      </c>
      <c r="E79" s="137">
        <v>2020</v>
      </c>
      <c r="F79" s="142" t="s">
        <v>13</v>
      </c>
      <c r="G79" s="106" t="str">
        <f>VLOOKUP(H79,'Input keuzevariabelen'!$F:$J,2,FALSE)</f>
        <v>bt</v>
      </c>
      <c r="H79" s="112" t="s">
        <v>38</v>
      </c>
      <c r="I79" s="332">
        <v>257647</v>
      </c>
      <c r="J79" s="288">
        <f t="shared" si="3"/>
        <v>257647</v>
      </c>
      <c r="K79" s="107" t="str">
        <f>VLOOKUP(H79,'Input keuzevariabelen'!$F:$J,3,FALSE)</f>
        <v>km</v>
      </c>
      <c r="L79" s="107">
        <f>SUMIFS('Input keuzevariabelen'!$I:$I,'Input keuzevariabelen'!$F:$F,Data!H79,'Input keuzevariabelen'!$K:$K,Data!E79)</f>
        <v>195</v>
      </c>
      <c r="M79" s="107" t="str">
        <f>VLOOKUP(H79,'Input keuzevariabelen'!$F:$J,5,FALSE)</f>
        <v>gram CO2/km</v>
      </c>
      <c r="N79" s="284">
        <f t="shared" si="4"/>
        <v>50.241165000000002</v>
      </c>
      <c r="O79" s="115" t="s">
        <v>179</v>
      </c>
      <c r="P79" s="115"/>
      <c r="Q79" s="116"/>
      <c r="R79" s="107">
        <f>SUMIFS('Input keuzevariabelen'!$P:$P,'Input keuzevariabelen'!$M:$M,Data!H79)</f>
        <v>0</v>
      </c>
      <c r="S79" s="291">
        <f t="shared" si="5"/>
        <v>0</v>
      </c>
    </row>
    <row r="80" spans="3:19" ht="16.5" thickTop="1" thickBot="1" x14ac:dyDescent="0.25">
      <c r="C80" s="141" t="s">
        <v>11</v>
      </c>
      <c r="D80" s="257">
        <f>VLOOKUP(C80,'Input keuzevariabelen'!$B:$C,2,FALSE)</f>
        <v>1</v>
      </c>
      <c r="E80" s="137">
        <v>2020</v>
      </c>
      <c r="F80" s="142" t="s">
        <v>13</v>
      </c>
      <c r="G80" s="106" t="str">
        <f>VLOOKUP(H80,'Input keuzevariabelen'!$F:$J,2,FALSE)</f>
        <v>bt</v>
      </c>
      <c r="H80" s="112" t="s">
        <v>38</v>
      </c>
      <c r="I80" s="332">
        <v>831225</v>
      </c>
      <c r="J80" s="288">
        <f t="shared" si="3"/>
        <v>831225</v>
      </c>
      <c r="K80" s="107" t="str">
        <f>VLOOKUP(H80,'Input keuzevariabelen'!$F:$J,3,FALSE)</f>
        <v>km</v>
      </c>
      <c r="L80" s="107">
        <f>SUMIFS('Input keuzevariabelen'!$I:$I,'Input keuzevariabelen'!$F:$F,Data!H80,'Input keuzevariabelen'!$K:$K,Data!E80)</f>
        <v>195</v>
      </c>
      <c r="M80" s="107" t="str">
        <f>VLOOKUP(H80,'Input keuzevariabelen'!$F:$J,5,FALSE)</f>
        <v>gram CO2/km</v>
      </c>
      <c r="N80" s="284">
        <f t="shared" si="4"/>
        <v>162.088875</v>
      </c>
      <c r="O80" s="115" t="s">
        <v>179</v>
      </c>
      <c r="P80" s="115" t="s">
        <v>180</v>
      </c>
      <c r="Q80" s="116"/>
      <c r="R80" s="107">
        <f>SUMIFS('Input keuzevariabelen'!$P:$P,'Input keuzevariabelen'!$M:$M,Data!H80)</f>
        <v>0</v>
      </c>
      <c r="S80" s="291">
        <f t="shared" si="5"/>
        <v>0</v>
      </c>
    </row>
    <row r="81" spans="3:19" ht="16.5" thickTop="1" thickBot="1" x14ac:dyDescent="0.25">
      <c r="C81" s="141" t="s">
        <v>11</v>
      </c>
      <c r="D81" s="257">
        <f>VLOOKUP(C81,'Input keuzevariabelen'!$B:$C,2,FALSE)</f>
        <v>1</v>
      </c>
      <c r="E81" s="137">
        <v>2020</v>
      </c>
      <c r="F81" s="142" t="s">
        <v>13</v>
      </c>
      <c r="G81" s="106" t="str">
        <f>VLOOKUP(H81,'Input keuzevariabelen'!$F:$J,2,FALSE)</f>
        <v>bt</v>
      </c>
      <c r="H81" s="112" t="s">
        <v>41</v>
      </c>
      <c r="I81" s="332">
        <v>0</v>
      </c>
      <c r="J81" s="288">
        <f t="shared" si="3"/>
        <v>0</v>
      </c>
      <c r="K81" s="107" t="str">
        <f>VLOOKUP(H81,'Input keuzevariabelen'!$F:$J,3,FALSE)</f>
        <v>km</v>
      </c>
      <c r="L81" s="107">
        <f>SUMIFS('Input keuzevariabelen'!$I:$I,'Input keuzevariabelen'!$F:$F,Data!H81,'Input keuzevariabelen'!$K:$K,Data!E81)</f>
        <v>6</v>
      </c>
      <c r="M81" s="107" t="str">
        <f>VLOOKUP(H81,'Input keuzevariabelen'!$F:$J,5,FALSE)</f>
        <v>gram CO2/km</v>
      </c>
      <c r="N81" s="284">
        <f t="shared" si="4"/>
        <v>0</v>
      </c>
      <c r="O81" s="115" t="s">
        <v>179</v>
      </c>
      <c r="P81" s="115"/>
      <c r="Q81" s="116"/>
      <c r="R81" s="107">
        <f>SUMIFS('Input keuzevariabelen'!$P:$P,'Input keuzevariabelen'!$M:$M,Data!H81)</f>
        <v>0</v>
      </c>
      <c r="S81" s="291">
        <f t="shared" si="5"/>
        <v>0</v>
      </c>
    </row>
    <row r="82" spans="3:19" ht="16.5" thickTop="1" thickBot="1" x14ac:dyDescent="0.25">
      <c r="C82" s="141" t="s">
        <v>11</v>
      </c>
      <c r="D82" s="257">
        <f>VLOOKUP(C82,'Input keuzevariabelen'!$B:$C,2,FALSE)</f>
        <v>1</v>
      </c>
      <c r="E82" s="137">
        <v>2020</v>
      </c>
      <c r="F82" s="142" t="s">
        <v>13</v>
      </c>
      <c r="G82" s="106" t="str">
        <f>VLOOKUP(H82,'Input keuzevariabelen'!$F:$J,2,FALSE)</f>
        <v>bt</v>
      </c>
      <c r="H82" s="112" t="s">
        <v>42</v>
      </c>
      <c r="I82" s="332">
        <v>1960</v>
      </c>
      <c r="J82" s="288">
        <f t="shared" si="3"/>
        <v>1960</v>
      </c>
      <c r="K82" s="107" t="str">
        <f>VLOOKUP(H82,'Input keuzevariabelen'!$F:$J,3,FALSE)</f>
        <v>km</v>
      </c>
      <c r="L82" s="107">
        <f>SUMIFS('Input keuzevariabelen'!$I:$I,'Input keuzevariabelen'!$F:$F,Data!H82,'Input keuzevariabelen'!$K:$K,Data!E82)</f>
        <v>297</v>
      </c>
      <c r="M82" s="107" t="str">
        <f>VLOOKUP(H82,'Input keuzevariabelen'!$F:$J,5,FALSE)</f>
        <v>gram CO2/km</v>
      </c>
      <c r="N82" s="284">
        <f t="shared" si="4"/>
        <v>0.58211999999999997</v>
      </c>
      <c r="O82" s="117" t="s">
        <v>179</v>
      </c>
      <c r="P82" s="115" t="s">
        <v>181</v>
      </c>
      <c r="Q82" s="116"/>
      <c r="R82" s="107">
        <f>SUMIFS('Input keuzevariabelen'!$P:$P,'Input keuzevariabelen'!$M:$M,Data!H82)</f>
        <v>0</v>
      </c>
      <c r="S82" s="291">
        <f t="shared" si="5"/>
        <v>0</v>
      </c>
    </row>
    <row r="83" spans="3:19" ht="16.5" thickTop="1" thickBot="1" x14ac:dyDescent="0.25">
      <c r="C83" s="141" t="s">
        <v>11</v>
      </c>
      <c r="D83" s="257">
        <f>VLOOKUP(C83,'Input keuzevariabelen'!$B:$C,2,FALSE)</f>
        <v>1</v>
      </c>
      <c r="E83" s="137">
        <v>2020</v>
      </c>
      <c r="F83" s="142" t="s">
        <v>13</v>
      </c>
      <c r="G83" s="106" t="str">
        <f>VLOOKUP(H83,'Input keuzevariabelen'!$F:$J,2,FALSE)</f>
        <v>bt</v>
      </c>
      <c r="H83" s="112" t="s">
        <v>43</v>
      </c>
      <c r="I83" s="332">
        <v>206567</v>
      </c>
      <c r="J83" s="288">
        <f t="shared" si="3"/>
        <v>206567</v>
      </c>
      <c r="K83" s="107" t="str">
        <f>VLOOKUP(H83,'Input keuzevariabelen'!$F:$J,3,FALSE)</f>
        <v>km</v>
      </c>
      <c r="L83" s="107">
        <f>SUMIFS('Input keuzevariabelen'!$I:$I,'Input keuzevariabelen'!$F:$F,Data!H83,'Input keuzevariabelen'!$K:$K,Data!E83)</f>
        <v>200</v>
      </c>
      <c r="M83" s="107" t="str">
        <f>VLOOKUP(H83,'Input keuzevariabelen'!$F:$J,5,FALSE)</f>
        <v>gram CO2/km</v>
      </c>
      <c r="N83" s="284">
        <f t="shared" si="4"/>
        <v>41.313400000000001</v>
      </c>
      <c r="O83" s="115" t="s">
        <v>179</v>
      </c>
      <c r="P83" s="115" t="s">
        <v>182</v>
      </c>
      <c r="Q83" s="116" t="s">
        <v>183</v>
      </c>
      <c r="R83" s="107">
        <f>SUMIFS('Input keuzevariabelen'!$P:$P,'Input keuzevariabelen'!$M:$M,Data!H83)</f>
        <v>0</v>
      </c>
      <c r="S83" s="291">
        <f t="shared" si="5"/>
        <v>0</v>
      </c>
    </row>
    <row r="84" spans="3:19" ht="16.5" thickTop="1" thickBot="1" x14ac:dyDescent="0.25">
      <c r="C84" s="141" t="s">
        <v>11</v>
      </c>
      <c r="D84" s="257">
        <f>VLOOKUP(C84,'Input keuzevariabelen'!$B:$C,2,FALSE)</f>
        <v>1</v>
      </c>
      <c r="E84" s="137">
        <v>2020</v>
      </c>
      <c r="F84" s="142" t="s">
        <v>13</v>
      </c>
      <c r="G84" s="106" t="str">
        <f>VLOOKUP(H84,'Input keuzevariabelen'!$F:$J,2,FALSE)</f>
        <v>bt</v>
      </c>
      <c r="H84" s="112" t="s">
        <v>44</v>
      </c>
      <c r="I84" s="332">
        <v>58826</v>
      </c>
      <c r="J84" s="288">
        <f t="shared" si="3"/>
        <v>58826</v>
      </c>
      <c r="K84" s="107" t="str">
        <f>VLOOKUP(H84,'Input keuzevariabelen'!$F:$J,3,FALSE)</f>
        <v>km</v>
      </c>
      <c r="L84" s="107">
        <f>SUMIFS('Input keuzevariabelen'!$I:$I,'Input keuzevariabelen'!$F:$F,Data!H84,'Input keuzevariabelen'!$K:$K,Data!E84)</f>
        <v>147</v>
      </c>
      <c r="M84" s="107" t="str">
        <f>VLOOKUP(H84,'Input keuzevariabelen'!$F:$J,5,FALSE)</f>
        <v>gram CO2/km</v>
      </c>
      <c r="N84" s="284">
        <f t="shared" si="4"/>
        <v>8.6474220000000006</v>
      </c>
      <c r="O84" s="115" t="s">
        <v>179</v>
      </c>
      <c r="P84" s="115" t="s">
        <v>184</v>
      </c>
      <c r="Q84" s="116"/>
      <c r="R84" s="107">
        <f>SUMIFS('Input keuzevariabelen'!$P:$P,'Input keuzevariabelen'!$M:$M,Data!H84)</f>
        <v>0</v>
      </c>
      <c r="S84" s="291">
        <f t="shared" si="5"/>
        <v>0</v>
      </c>
    </row>
    <row r="85" spans="3:19" ht="16.5" thickTop="1" thickBot="1" x14ac:dyDescent="0.25">
      <c r="C85" s="140" t="s">
        <v>172</v>
      </c>
      <c r="D85" s="257">
        <f>VLOOKUP(C85,'Input keuzevariabelen'!$B:$C,2,FALSE)</f>
        <v>0.2</v>
      </c>
      <c r="E85" s="137">
        <v>2020</v>
      </c>
      <c r="F85" s="142" t="s">
        <v>13</v>
      </c>
      <c r="G85" s="106">
        <f>VLOOKUP(H85,'Input keuzevariabelen'!$F:$J,2,FALSE)</f>
        <v>1</v>
      </c>
      <c r="H85" s="112" t="s">
        <v>21</v>
      </c>
      <c r="I85" s="332">
        <f>322145</f>
        <v>322145</v>
      </c>
      <c r="J85" s="288">
        <f t="shared" si="3"/>
        <v>64429</v>
      </c>
      <c r="K85" s="107" t="str">
        <f>VLOOKUP(H85,'Input keuzevariabelen'!$F:$J,3,FALSE)</f>
        <v>m3</v>
      </c>
      <c r="L85" s="107">
        <f>SUMIFS('Input keuzevariabelen'!$I:$I,'Input keuzevariabelen'!$F:$F,Data!H85,'Input keuzevariabelen'!$K:$K,Data!E85)</f>
        <v>1884</v>
      </c>
      <c r="M85" s="107" t="str">
        <f>VLOOKUP(H85,'Input keuzevariabelen'!$F:$J,5,FALSE)</f>
        <v>gram CO2/m3</v>
      </c>
      <c r="N85" s="284">
        <f t="shared" si="4"/>
        <v>121.384236</v>
      </c>
      <c r="O85" s="115" t="s">
        <v>185</v>
      </c>
      <c r="P85" s="117"/>
      <c r="Q85" s="118" t="s">
        <v>122</v>
      </c>
      <c r="R85" s="107">
        <f>SUMIFS('Input keuzevariabelen'!$P:$P,'Input keuzevariabelen'!$M:$M,Data!H85)</f>
        <v>3.1649999999999998E-2</v>
      </c>
      <c r="S85" s="291">
        <f t="shared" si="5"/>
        <v>2039.1778499999998</v>
      </c>
    </row>
    <row r="86" spans="3:19" ht="16.5" thickTop="1" thickBot="1" x14ac:dyDescent="0.25">
      <c r="C86" s="140" t="s">
        <v>172</v>
      </c>
      <c r="D86" s="257">
        <f>VLOOKUP(C86,'Input keuzevariabelen'!$B:$C,2,FALSE)</f>
        <v>0.2</v>
      </c>
      <c r="E86" s="137">
        <v>2020</v>
      </c>
      <c r="F86" s="142" t="s">
        <v>13</v>
      </c>
      <c r="G86" s="106">
        <f>VLOOKUP(H86,'Input keuzevariabelen'!$F:$J,2,FALSE)</f>
        <v>2</v>
      </c>
      <c r="H86" s="112" t="s">
        <v>31</v>
      </c>
      <c r="I86" s="332">
        <f>18877000</f>
        <v>18877000</v>
      </c>
      <c r="J86" s="288">
        <f t="shared" si="3"/>
        <v>3775400</v>
      </c>
      <c r="K86" s="107" t="str">
        <f>VLOOKUP(H86,'Input keuzevariabelen'!$F:$J,3,FALSE)</f>
        <v>kWh</v>
      </c>
      <c r="L86" s="107">
        <f>SUMIFS('Input keuzevariabelen'!$I:$I,'Input keuzevariabelen'!$F:$F,Data!H86,'Input keuzevariabelen'!$K:$K,Data!E86)</f>
        <v>0</v>
      </c>
      <c r="M86" s="107" t="str">
        <f>VLOOKUP(H86,'Input keuzevariabelen'!$F:$J,5,FALSE)</f>
        <v>gram CO2/kWh</v>
      </c>
      <c r="N86" s="284">
        <f t="shared" si="4"/>
        <v>0</v>
      </c>
      <c r="O86" s="115" t="s">
        <v>185</v>
      </c>
      <c r="P86" s="115"/>
      <c r="Q86" s="116" t="s">
        <v>122</v>
      </c>
      <c r="R86" s="107">
        <f>SUMIFS('Input keuzevariabelen'!$P:$P,'Input keuzevariabelen'!$M:$M,Data!H86)</f>
        <v>5.2199999999999998E-3</v>
      </c>
      <c r="S86" s="291">
        <f t="shared" si="5"/>
        <v>19707.588</v>
      </c>
    </row>
    <row r="87" spans="3:19" ht="16.5" thickTop="1" thickBot="1" x14ac:dyDescent="0.25">
      <c r="C87" s="140" t="s">
        <v>172</v>
      </c>
      <c r="D87" s="257">
        <f>VLOOKUP(C87,'Input keuzevariabelen'!$B:$C,2,FALSE)</f>
        <v>0.2</v>
      </c>
      <c r="E87" s="137">
        <v>2020</v>
      </c>
      <c r="F87" s="142" t="s">
        <v>13</v>
      </c>
      <c r="G87" s="106">
        <f>VLOOKUP(H87,'Input keuzevariabelen'!$F:$J,2,FALSE)</f>
        <v>2</v>
      </c>
      <c r="H87" s="112" t="s">
        <v>31</v>
      </c>
      <c r="I87" s="332">
        <f>4836000</f>
        <v>4836000</v>
      </c>
      <c r="J87" s="288">
        <f t="shared" si="3"/>
        <v>967200</v>
      </c>
      <c r="K87" s="107" t="str">
        <f>VLOOKUP(H87,'Input keuzevariabelen'!$F:$J,3,FALSE)</f>
        <v>kWh</v>
      </c>
      <c r="L87" s="107">
        <f>SUMIFS('Input keuzevariabelen'!$I:$I,'Input keuzevariabelen'!$F:$F,Data!H87,'Input keuzevariabelen'!$K:$K,Data!E87)</f>
        <v>0</v>
      </c>
      <c r="M87" s="107" t="str">
        <f>VLOOKUP(H87,'Input keuzevariabelen'!$F:$J,5,FALSE)</f>
        <v>gram CO2/kWh</v>
      </c>
      <c r="N87" s="284">
        <f t="shared" si="4"/>
        <v>0</v>
      </c>
      <c r="O87" s="115" t="s">
        <v>185</v>
      </c>
      <c r="P87" s="115"/>
      <c r="Q87" s="116" t="s">
        <v>122</v>
      </c>
      <c r="R87" s="107">
        <f>SUMIFS('Input keuzevariabelen'!$P:$P,'Input keuzevariabelen'!$M:$M,Data!H87)</f>
        <v>5.2199999999999998E-3</v>
      </c>
      <c r="S87" s="291">
        <f t="shared" si="5"/>
        <v>5048.7839999999997</v>
      </c>
    </row>
    <row r="88" spans="3:19" ht="16.5" thickTop="1" thickBot="1" x14ac:dyDescent="0.25">
      <c r="C88" s="141" t="s">
        <v>123</v>
      </c>
      <c r="D88" s="257">
        <f>VLOOKUP(C88,'Input keuzevariabelen'!$B:$C,2,FALSE)</f>
        <v>0.28599999999999998</v>
      </c>
      <c r="E88" s="137">
        <v>2020</v>
      </c>
      <c r="F88" s="142" t="s">
        <v>13</v>
      </c>
      <c r="G88" s="106">
        <f>VLOOKUP(H88,'Input keuzevariabelen'!$F:$J,2,FALSE)</f>
        <v>1</v>
      </c>
      <c r="H88" s="112" t="s">
        <v>21</v>
      </c>
      <c r="I88" s="332">
        <f>13333</f>
        <v>13333</v>
      </c>
      <c r="J88" s="288">
        <f t="shared" si="3"/>
        <v>3813.2379999999998</v>
      </c>
      <c r="K88" s="107" t="str">
        <f>VLOOKUP(H88,'Input keuzevariabelen'!$F:$J,3,FALSE)</f>
        <v>m3</v>
      </c>
      <c r="L88" s="107">
        <f>SUMIFS('Input keuzevariabelen'!$I:$I,'Input keuzevariabelen'!$F:$F,Data!H88,'Input keuzevariabelen'!$K:$K,Data!E88)</f>
        <v>1884</v>
      </c>
      <c r="M88" s="107" t="str">
        <f>VLOOKUP(H88,'Input keuzevariabelen'!$F:$J,5,FALSE)</f>
        <v>gram CO2/m3</v>
      </c>
      <c r="N88" s="284">
        <f t="shared" si="4"/>
        <v>7.1841403919999998</v>
      </c>
      <c r="O88" s="115" t="s">
        <v>174</v>
      </c>
      <c r="P88" s="115"/>
      <c r="Q88" s="116" t="s">
        <v>123</v>
      </c>
      <c r="R88" s="107">
        <f>SUMIFS('Input keuzevariabelen'!$P:$P,'Input keuzevariabelen'!$M:$M,Data!H88)</f>
        <v>3.1649999999999998E-2</v>
      </c>
      <c r="S88" s="291">
        <f t="shared" si="5"/>
        <v>120.68898269999998</v>
      </c>
    </row>
    <row r="89" spans="3:19" ht="16.5" thickTop="1" thickBot="1" x14ac:dyDescent="0.25">
      <c r="C89" s="141" t="s">
        <v>123</v>
      </c>
      <c r="D89" s="257">
        <f>VLOOKUP(C89,'Input keuzevariabelen'!$B:$C,2,FALSE)</f>
        <v>0.28599999999999998</v>
      </c>
      <c r="E89" s="137">
        <v>2020</v>
      </c>
      <c r="F89" s="142" t="s">
        <v>13</v>
      </c>
      <c r="G89" s="106">
        <f>VLOOKUP(H89,'Input keuzevariabelen'!$F:$J,2,FALSE)</f>
        <v>2</v>
      </c>
      <c r="H89" s="112" t="s">
        <v>29</v>
      </c>
      <c r="I89" s="332">
        <f>295604</f>
        <v>295604</v>
      </c>
      <c r="J89" s="288">
        <f t="shared" si="3"/>
        <v>84542.743999999992</v>
      </c>
      <c r="K89" s="107" t="str">
        <f>VLOOKUP(H89,'Input keuzevariabelen'!$F:$J,3,FALSE)</f>
        <v>kWh</v>
      </c>
      <c r="L89" s="107">
        <f>SUMIFS('Input keuzevariabelen'!$I:$I,'Input keuzevariabelen'!$F:$F,Data!H89,'Input keuzevariabelen'!$K:$K,Data!E89)</f>
        <v>556</v>
      </c>
      <c r="M89" s="107" t="str">
        <f>VLOOKUP(H89,'Input keuzevariabelen'!$F:$J,5,FALSE)</f>
        <v>gram CO2/kWh</v>
      </c>
      <c r="N89" s="284">
        <f t="shared" si="4"/>
        <v>47.005765663999995</v>
      </c>
      <c r="O89" s="115" t="s">
        <v>174</v>
      </c>
      <c r="P89" s="115"/>
      <c r="Q89" s="116" t="s">
        <v>123</v>
      </c>
      <c r="R89" s="107">
        <f>SUMIFS('Input keuzevariabelen'!$P:$P,'Input keuzevariabelen'!$M:$M,Data!H89)</f>
        <v>5.2199999999999998E-3</v>
      </c>
      <c r="S89" s="291">
        <f t="shared" si="5"/>
        <v>441.31312367999993</v>
      </c>
    </row>
    <row r="90" spans="3:19" ht="16.5" thickTop="1" thickBot="1" x14ac:dyDescent="0.25">
      <c r="C90" s="141" t="s">
        <v>124</v>
      </c>
      <c r="D90" s="257">
        <f>VLOOKUP(C90,'Input keuzevariabelen'!$B:$C,2,FALSE)</f>
        <v>0.111</v>
      </c>
      <c r="E90" s="137">
        <v>2020</v>
      </c>
      <c r="F90" s="142" t="s">
        <v>13</v>
      </c>
      <c r="G90" s="106">
        <f>VLOOKUP(H90,'Input keuzevariabelen'!$F:$J,2,FALSE)</f>
        <v>1</v>
      </c>
      <c r="H90" s="112" t="s">
        <v>21</v>
      </c>
      <c r="I90" s="332">
        <f>142688</f>
        <v>142688</v>
      </c>
      <c r="J90" s="288">
        <f t="shared" si="3"/>
        <v>15838.368</v>
      </c>
      <c r="K90" s="107" t="str">
        <f>VLOOKUP(H90,'Input keuzevariabelen'!$F:$J,3,FALSE)</f>
        <v>m3</v>
      </c>
      <c r="L90" s="107">
        <f>SUMIFS('Input keuzevariabelen'!$I:$I,'Input keuzevariabelen'!$F:$F,Data!H90,'Input keuzevariabelen'!$K:$K,Data!E90)</f>
        <v>1884</v>
      </c>
      <c r="M90" s="107" t="str">
        <f>VLOOKUP(H90,'Input keuzevariabelen'!$F:$J,5,FALSE)</f>
        <v>gram CO2/m3</v>
      </c>
      <c r="N90" s="284">
        <f t="shared" si="4"/>
        <v>29.839485312000001</v>
      </c>
      <c r="O90" s="115" t="s">
        <v>175</v>
      </c>
      <c r="P90" s="115"/>
      <c r="Q90" s="116" t="s">
        <v>124</v>
      </c>
      <c r="R90" s="107">
        <f>SUMIFS('Input keuzevariabelen'!$P:$P,'Input keuzevariabelen'!$M:$M,Data!H90)</f>
        <v>3.1649999999999998E-2</v>
      </c>
      <c r="S90" s="291">
        <f t="shared" si="5"/>
        <v>501.28434719999996</v>
      </c>
    </row>
    <row r="91" spans="3:19" ht="16.5" thickTop="1" thickBot="1" x14ac:dyDescent="0.25">
      <c r="C91" s="141" t="s">
        <v>124</v>
      </c>
      <c r="D91" s="257">
        <f>VLOOKUP(C91,'Input keuzevariabelen'!$B:$C,2,FALSE)</f>
        <v>0.111</v>
      </c>
      <c r="E91" s="137">
        <v>2020</v>
      </c>
      <c r="F91" s="142" t="s">
        <v>13</v>
      </c>
      <c r="G91" s="106">
        <f>VLOOKUP(H91,'Input keuzevariabelen'!$F:$J,2,FALSE)</f>
        <v>2</v>
      </c>
      <c r="H91" s="112" t="s">
        <v>31</v>
      </c>
      <c r="I91" s="332">
        <f>1271061</f>
        <v>1271061</v>
      </c>
      <c r="J91" s="288">
        <f t="shared" si="3"/>
        <v>141087.77100000001</v>
      </c>
      <c r="K91" s="107" t="str">
        <f>VLOOKUP(H91,'Input keuzevariabelen'!$F:$J,3,FALSE)</f>
        <v>kWh</v>
      </c>
      <c r="L91" s="107">
        <f>SUMIFS('Input keuzevariabelen'!$I:$I,'Input keuzevariabelen'!$F:$F,Data!H91,'Input keuzevariabelen'!$K:$K,Data!E91)</f>
        <v>0</v>
      </c>
      <c r="M91" s="107" t="str">
        <f>VLOOKUP(H91,'Input keuzevariabelen'!$F:$J,5,FALSE)</f>
        <v>gram CO2/kWh</v>
      </c>
      <c r="N91" s="284">
        <f t="shared" si="4"/>
        <v>0</v>
      </c>
      <c r="O91" s="115" t="s">
        <v>175</v>
      </c>
      <c r="P91" s="115"/>
      <c r="Q91" s="116" t="s">
        <v>124</v>
      </c>
      <c r="R91" s="107">
        <f>SUMIFS('Input keuzevariabelen'!$P:$P,'Input keuzevariabelen'!$M:$M,Data!H91)</f>
        <v>5.2199999999999998E-3</v>
      </c>
      <c r="S91" s="291">
        <f t="shared" si="5"/>
        <v>736.47816462000003</v>
      </c>
    </row>
    <row r="92" spans="3:19" ht="16.5" thickTop="1" thickBot="1" x14ac:dyDescent="0.25">
      <c r="C92" s="141" t="s">
        <v>124</v>
      </c>
      <c r="D92" s="257">
        <f>VLOOKUP(C92,'Input keuzevariabelen'!$B:$C,2,FALSE)</f>
        <v>0.111</v>
      </c>
      <c r="E92" s="137">
        <v>2020</v>
      </c>
      <c r="F92" s="142" t="s">
        <v>13</v>
      </c>
      <c r="G92" s="106">
        <f>VLOOKUP(H92,'Input keuzevariabelen'!$F:$J,2,FALSE)</f>
        <v>2</v>
      </c>
      <c r="H92" s="112" t="s">
        <v>32</v>
      </c>
      <c r="I92" s="332">
        <f>1987</f>
        <v>1987</v>
      </c>
      <c r="J92" s="288">
        <f t="shared" si="3"/>
        <v>220.55700000000002</v>
      </c>
      <c r="K92" s="107" t="str">
        <f>VLOOKUP(H92,'Input keuzevariabelen'!$F:$J,3,FALSE)</f>
        <v>kWh</v>
      </c>
      <c r="L92" s="107">
        <f>SUMIFS('Input keuzevariabelen'!$I:$I,'Input keuzevariabelen'!$F:$F,Data!H92,'Input keuzevariabelen'!$K:$K,Data!E92)</f>
        <v>556</v>
      </c>
      <c r="M92" s="107" t="str">
        <f>VLOOKUP(H92,'Input keuzevariabelen'!$F:$J,5,FALSE)</f>
        <v>gram CO2/kWh</v>
      </c>
      <c r="N92" s="284">
        <f t="shared" si="4"/>
        <v>0.12262969200000001</v>
      </c>
      <c r="O92" s="115" t="s">
        <v>175</v>
      </c>
      <c r="P92" s="115"/>
      <c r="Q92" s="116" t="s">
        <v>124</v>
      </c>
      <c r="R92" s="107">
        <f>SUMIFS('Input keuzevariabelen'!$P:$P,'Input keuzevariabelen'!$M:$M,Data!H92)</f>
        <v>5.2199999999999998E-3</v>
      </c>
      <c r="S92" s="291">
        <f t="shared" si="5"/>
        <v>1.1513075400000001</v>
      </c>
    </row>
    <row r="93" spans="3:19" ht="16.5" thickTop="1" thickBot="1" x14ac:dyDescent="0.25">
      <c r="C93" s="141" t="s">
        <v>124</v>
      </c>
      <c r="D93" s="257">
        <f>VLOOKUP(C93,'Input keuzevariabelen'!$B:$C,2,FALSE)</f>
        <v>0.111</v>
      </c>
      <c r="E93" s="137">
        <v>2020</v>
      </c>
      <c r="F93" s="142" t="s">
        <v>13</v>
      </c>
      <c r="G93" s="106">
        <f>VLOOKUP(H93,'Input keuzevariabelen'!$F:$J,2,FALSE)</f>
        <v>1</v>
      </c>
      <c r="H93" s="112" t="s">
        <v>23</v>
      </c>
      <c r="I93" s="332">
        <f>86578</f>
        <v>86578</v>
      </c>
      <c r="J93" s="288">
        <f t="shared" si="3"/>
        <v>9610.1579999999994</v>
      </c>
      <c r="K93" s="107" t="str">
        <f>VLOOKUP(H93,'Input keuzevariabelen'!$F:$J,3,FALSE)</f>
        <v>liter</v>
      </c>
      <c r="L93" s="107">
        <f>SUMIFS('Input keuzevariabelen'!$I:$I,'Input keuzevariabelen'!$F:$F,Data!H93,'Input keuzevariabelen'!$K:$K,Data!E93)</f>
        <v>3262</v>
      </c>
      <c r="M93" s="107" t="str">
        <f>VLOOKUP(H93,'Input keuzevariabelen'!$F:$J,5,FALSE)</f>
        <v>gram CO2/liter</v>
      </c>
      <c r="N93" s="284">
        <f t="shared" si="4"/>
        <v>31.348335396</v>
      </c>
      <c r="O93" s="115" t="s">
        <v>176</v>
      </c>
      <c r="P93" s="115"/>
      <c r="Q93" s="116" t="s">
        <v>124</v>
      </c>
      <c r="R93" s="107">
        <f>SUMIFS('Input keuzevariabelen'!$P:$P,'Input keuzevariabelen'!$M:$M,Data!H93)</f>
        <v>3.6299999999999999E-2</v>
      </c>
      <c r="S93" s="291">
        <f t="shared" si="5"/>
        <v>348.84873539999995</v>
      </c>
    </row>
    <row r="94" spans="3:19" ht="16.5" thickTop="1" thickBot="1" x14ac:dyDescent="0.25">
      <c r="C94" s="141" t="s">
        <v>124</v>
      </c>
      <c r="D94" s="257">
        <f>VLOOKUP(C94,'Input keuzevariabelen'!$B:$C,2,FALSE)</f>
        <v>0.111</v>
      </c>
      <c r="E94" s="137">
        <v>2020</v>
      </c>
      <c r="F94" s="142" t="s">
        <v>13</v>
      </c>
      <c r="G94" s="106">
        <f>VLOOKUP(H94,'Input keuzevariabelen'!$F:$J,2,FALSE)</f>
        <v>1</v>
      </c>
      <c r="H94" s="112" t="s">
        <v>25</v>
      </c>
      <c r="I94" s="332">
        <f>2018</f>
        <v>2018</v>
      </c>
      <c r="J94" s="288">
        <f t="shared" si="3"/>
        <v>223.99799999999999</v>
      </c>
      <c r="K94" s="107" t="str">
        <f>VLOOKUP(H94,'Input keuzevariabelen'!$F:$J,3,FALSE)</f>
        <v>liter</v>
      </c>
      <c r="L94" s="107">
        <f>SUMIFS('Input keuzevariabelen'!$I:$I,'Input keuzevariabelen'!$F:$F,Data!H94,'Input keuzevariabelen'!$K:$K,Data!E94)</f>
        <v>2784</v>
      </c>
      <c r="M94" s="107" t="str">
        <f>VLOOKUP(H94,'Input keuzevariabelen'!$F:$J,5,FALSE)</f>
        <v>gram CO2/liter</v>
      </c>
      <c r="N94" s="284">
        <f t="shared" si="4"/>
        <v>0.62361043199999999</v>
      </c>
      <c r="O94" s="115" t="s">
        <v>176</v>
      </c>
      <c r="P94" s="115"/>
      <c r="Q94" s="116" t="s">
        <v>124</v>
      </c>
      <c r="R94" s="107">
        <f>SUMIFS('Input keuzevariabelen'!$P:$P,'Input keuzevariabelen'!$M:$M,Data!H94)</f>
        <v>3.1E-2</v>
      </c>
      <c r="S94" s="291">
        <f t="shared" si="5"/>
        <v>6.9439379999999993</v>
      </c>
    </row>
    <row r="95" spans="3:19" ht="16.5" thickTop="1" thickBot="1" x14ac:dyDescent="0.25">
      <c r="C95" s="141" t="s">
        <v>124</v>
      </c>
      <c r="D95" s="257">
        <f>VLOOKUP(C95,'Input keuzevariabelen'!$B:$C,2,FALSE)</f>
        <v>0.111</v>
      </c>
      <c r="E95" s="137">
        <v>2020</v>
      </c>
      <c r="F95" s="142" t="s">
        <v>13</v>
      </c>
      <c r="G95" s="106" t="str">
        <f>VLOOKUP(H95,'Input keuzevariabelen'!$F:$J,2,FALSE)</f>
        <v>bt</v>
      </c>
      <c r="H95" s="112" t="s">
        <v>38</v>
      </c>
      <c r="I95" s="332">
        <f>(31666/0.19)</f>
        <v>166663.15789473685</v>
      </c>
      <c r="J95" s="288">
        <f t="shared" si="3"/>
        <v>18499.610526315792</v>
      </c>
      <c r="K95" s="107" t="str">
        <f>VLOOKUP(H95,'Input keuzevariabelen'!$F:$J,3,FALSE)</f>
        <v>km</v>
      </c>
      <c r="L95" s="107">
        <f>SUMIFS('Input keuzevariabelen'!$I:$I,'Input keuzevariabelen'!$F:$F,Data!H95,'Input keuzevariabelen'!$K:$K,Data!E95)</f>
        <v>195</v>
      </c>
      <c r="M95" s="107" t="str">
        <f>VLOOKUP(H95,'Input keuzevariabelen'!$F:$J,5,FALSE)</f>
        <v>gram CO2/km</v>
      </c>
      <c r="N95" s="284">
        <f t="shared" si="4"/>
        <v>3.6074240526315795</v>
      </c>
      <c r="O95" s="115" t="s">
        <v>175</v>
      </c>
      <c r="P95" s="115"/>
      <c r="Q95" s="116" t="s">
        <v>124</v>
      </c>
      <c r="R95" s="107">
        <f>SUMIFS('Input keuzevariabelen'!$P:$P,'Input keuzevariabelen'!$M:$M,Data!H95)</f>
        <v>0</v>
      </c>
      <c r="S95" s="291">
        <f t="shared" si="5"/>
        <v>0</v>
      </c>
    </row>
    <row r="96" spans="3:19" ht="16.5" thickTop="1" thickBot="1" x14ac:dyDescent="0.25">
      <c r="C96" s="141" t="s">
        <v>124</v>
      </c>
      <c r="D96" s="257">
        <f>VLOOKUP(C96,'Input keuzevariabelen'!$B:$C,2,FALSE)</f>
        <v>0.111</v>
      </c>
      <c r="E96" s="137">
        <v>2020</v>
      </c>
      <c r="F96" s="142" t="s">
        <v>13</v>
      </c>
      <c r="G96" s="106" t="str">
        <f>VLOOKUP(H96,'Input keuzevariabelen'!$F:$J,2,FALSE)</f>
        <v>bt</v>
      </c>
      <c r="H96" s="112" t="s">
        <v>40</v>
      </c>
      <c r="I96" s="332">
        <f>(520/0.15)</f>
        <v>3466.666666666667</v>
      </c>
      <c r="J96" s="288">
        <f t="shared" si="3"/>
        <v>384.8</v>
      </c>
      <c r="K96" s="107" t="str">
        <f>VLOOKUP(H96,'Input keuzevariabelen'!$F:$J,3,FALSE)</f>
        <v>km</v>
      </c>
      <c r="L96" s="107">
        <f>SUMIFS('Input keuzevariabelen'!$I:$I,'Input keuzevariabelen'!$F:$F,Data!H96,'Input keuzevariabelen'!$K:$K,Data!E96)</f>
        <v>36</v>
      </c>
      <c r="M96" s="107" t="str">
        <f>VLOOKUP(H96,'Input keuzevariabelen'!$F:$J,5,FALSE)</f>
        <v>gram CO2/km</v>
      </c>
      <c r="N96" s="284">
        <f t="shared" si="4"/>
        <v>1.3852800000000002E-2</v>
      </c>
      <c r="O96" s="115" t="s">
        <v>175</v>
      </c>
      <c r="P96" s="115"/>
      <c r="Q96" s="116" t="s">
        <v>124</v>
      </c>
      <c r="R96" s="107">
        <f>SUMIFS('Input keuzevariabelen'!$P:$P,'Input keuzevariabelen'!$M:$M,Data!H96)</f>
        <v>0</v>
      </c>
      <c r="S96" s="291">
        <f t="shared" si="5"/>
        <v>0</v>
      </c>
    </row>
    <row r="97" spans="3:19" ht="16.5" thickTop="1" thickBot="1" x14ac:dyDescent="0.25">
      <c r="C97" s="141"/>
      <c r="D97" s="257" t="e">
        <f>VLOOKUP(C97,'Input keuzevariabelen'!$B:$C,2,FALSE)</f>
        <v>#N/A</v>
      </c>
      <c r="E97" s="137"/>
      <c r="F97" s="142"/>
      <c r="G97" s="106" t="e">
        <f>VLOOKUP(H97,'Input keuzevariabelen'!$F:$J,2,FALSE)</f>
        <v>#N/A</v>
      </c>
      <c r="H97" s="112"/>
      <c r="I97" s="332"/>
      <c r="J97" s="288" t="e">
        <f t="shared" si="3"/>
        <v>#N/A</v>
      </c>
      <c r="K97" s="107" t="e">
        <f>VLOOKUP(H97,'Input keuzevariabelen'!$F:$J,3,FALSE)</f>
        <v>#N/A</v>
      </c>
      <c r="L97" s="107">
        <f>SUMIFS('Input keuzevariabelen'!$I:$I,'Input keuzevariabelen'!$F:$F,Data!H97,'Input keuzevariabelen'!$K:$K,Data!E97)</f>
        <v>0</v>
      </c>
      <c r="M97" s="107" t="e">
        <f>VLOOKUP(H97,'Input keuzevariabelen'!$F:$J,5,FALSE)</f>
        <v>#N/A</v>
      </c>
      <c r="N97" s="284" t="e">
        <f t="shared" si="4"/>
        <v>#N/A</v>
      </c>
      <c r="O97" s="115"/>
      <c r="P97" s="115"/>
      <c r="Q97" s="116"/>
      <c r="R97" s="107">
        <f>SUMIFS('Input keuzevariabelen'!$P:$P,'Input keuzevariabelen'!$M:$M,Data!H97)</f>
        <v>0</v>
      </c>
      <c r="S97" s="291" t="e">
        <f t="shared" si="5"/>
        <v>#N/A</v>
      </c>
    </row>
    <row r="98" spans="3:19" ht="16.5" thickTop="1" thickBot="1" x14ac:dyDescent="0.25">
      <c r="C98" s="141" t="s">
        <v>11</v>
      </c>
      <c r="D98" s="257">
        <f>VLOOKUP(C98,'Input keuzevariabelen'!$B:$C,2,FALSE)</f>
        <v>1</v>
      </c>
      <c r="E98" s="137">
        <v>2021</v>
      </c>
      <c r="F98" s="142" t="s">
        <v>13</v>
      </c>
      <c r="G98" s="106" t="str">
        <f>VLOOKUP(H98,'Input keuzevariabelen'!$F:$J,2,FALSE)</f>
        <v>KPI</v>
      </c>
      <c r="H98" s="112" t="s">
        <v>154</v>
      </c>
      <c r="I98" s="332">
        <f>150456430/1000</f>
        <v>150456.43</v>
      </c>
      <c r="J98" s="288">
        <f t="shared" si="3"/>
        <v>150456.43</v>
      </c>
      <c r="K98" s="107">
        <f>VLOOKUP(H98,'Input keuzevariabelen'!$F:$J,3,FALSE)</f>
        <v>0</v>
      </c>
      <c r="L98" s="107">
        <f>SUMIFS('Input keuzevariabelen'!$I:$I,'Input keuzevariabelen'!$F:$F,Data!H98,'Input keuzevariabelen'!$K:$K,Data!E98)</f>
        <v>0</v>
      </c>
      <c r="M98" s="107">
        <f>VLOOKUP(H98,'Input keuzevariabelen'!$F:$J,5,FALSE)</f>
        <v>0</v>
      </c>
      <c r="N98" s="284">
        <f t="shared" si="4"/>
        <v>0</v>
      </c>
      <c r="O98" s="115" t="s">
        <v>155</v>
      </c>
      <c r="P98" s="115"/>
      <c r="Q98" s="109"/>
      <c r="R98" s="107">
        <f>SUMIFS('Input keuzevariabelen'!$P:$P,'Input keuzevariabelen'!$M:$M,Data!H98)</f>
        <v>0</v>
      </c>
      <c r="S98" s="291">
        <f t="shared" si="5"/>
        <v>0</v>
      </c>
    </row>
    <row r="99" spans="3:19" ht="16.5" thickTop="1" thickBot="1" x14ac:dyDescent="0.25">
      <c r="C99" s="141" t="s">
        <v>11</v>
      </c>
      <c r="D99" s="257">
        <f>VLOOKUP(C99,'Input keuzevariabelen'!$B:$C,2,FALSE)</f>
        <v>1</v>
      </c>
      <c r="E99" s="137">
        <v>2021</v>
      </c>
      <c r="F99" s="142" t="s">
        <v>13</v>
      </c>
      <c r="G99" s="106">
        <f>VLOOKUP(H99,'Input keuzevariabelen'!$F:$J,2,FALSE)</f>
        <v>2</v>
      </c>
      <c r="H99" s="112" t="s">
        <v>31</v>
      </c>
      <c r="I99" s="332">
        <v>5441254</v>
      </c>
      <c r="J99" s="288">
        <f t="shared" si="3"/>
        <v>5441254</v>
      </c>
      <c r="K99" s="107" t="str">
        <f>VLOOKUP(H99,'Input keuzevariabelen'!$F:$J,3,FALSE)</f>
        <v>kWh</v>
      </c>
      <c r="L99" s="107">
        <f>SUMIFS('Input keuzevariabelen'!$I:$I,'Input keuzevariabelen'!$F:$F,Data!H99,'Input keuzevariabelen'!$K:$K,Data!E99)</f>
        <v>0</v>
      </c>
      <c r="M99" s="107" t="str">
        <f>VLOOKUP(H99,'Input keuzevariabelen'!$F:$J,5,FALSE)</f>
        <v>gram CO2/kWh</v>
      </c>
      <c r="N99" s="284">
        <f t="shared" si="4"/>
        <v>0</v>
      </c>
      <c r="O99" s="115" t="s">
        <v>186</v>
      </c>
      <c r="P99" s="115" t="s">
        <v>187</v>
      </c>
      <c r="Q99" s="109" t="s">
        <v>120</v>
      </c>
      <c r="R99" s="107">
        <f>SUMIFS('Input keuzevariabelen'!$P:$P,'Input keuzevariabelen'!$M:$M,Data!H99)</f>
        <v>5.2199999999999998E-3</v>
      </c>
      <c r="S99" s="291">
        <f t="shared" si="5"/>
        <v>28403.345880000001</v>
      </c>
    </row>
    <row r="100" spans="3:19" ht="16.5" thickTop="1" thickBot="1" x14ac:dyDescent="0.25">
      <c r="C100" s="141" t="s">
        <v>11</v>
      </c>
      <c r="D100" s="257">
        <f>VLOOKUP(C100,'Input keuzevariabelen'!$B:$C,2,FALSE)</f>
        <v>1</v>
      </c>
      <c r="E100" s="137">
        <v>2021</v>
      </c>
      <c r="F100" s="142" t="s">
        <v>13</v>
      </c>
      <c r="G100" s="106">
        <f>VLOOKUP(H100,'Input keuzevariabelen'!$F:$J,2,FALSE)</f>
        <v>2</v>
      </c>
      <c r="H100" s="112" t="s">
        <v>31</v>
      </c>
      <c r="I100" s="332">
        <v>444195</v>
      </c>
      <c r="J100" s="288">
        <f t="shared" si="3"/>
        <v>444195</v>
      </c>
      <c r="K100" s="107" t="str">
        <f>VLOOKUP(H100,'Input keuzevariabelen'!$F:$J,3,FALSE)</f>
        <v>kWh</v>
      </c>
      <c r="L100" s="107">
        <f>SUMIFS('Input keuzevariabelen'!$I:$I,'Input keuzevariabelen'!$F:$F,Data!H100,'Input keuzevariabelen'!$K:$K,Data!E100)</f>
        <v>0</v>
      </c>
      <c r="M100" s="107" t="str">
        <f>VLOOKUP(H100,'Input keuzevariabelen'!$F:$J,5,FALSE)</f>
        <v>gram CO2/kWh</v>
      </c>
      <c r="N100" s="284">
        <f t="shared" si="4"/>
        <v>0</v>
      </c>
      <c r="O100" s="115" t="s">
        <v>186</v>
      </c>
      <c r="P100" s="115" t="s">
        <v>187</v>
      </c>
      <c r="Q100" s="109" t="s">
        <v>121</v>
      </c>
      <c r="R100" s="107">
        <f>SUMIFS('Input keuzevariabelen'!$P:$P,'Input keuzevariabelen'!$M:$M,Data!H100)</f>
        <v>5.2199999999999998E-3</v>
      </c>
      <c r="S100" s="291">
        <f t="shared" si="5"/>
        <v>2318.6979000000001</v>
      </c>
    </row>
    <row r="101" spans="3:19" ht="16.5" thickTop="1" thickBot="1" x14ac:dyDescent="0.25">
      <c r="C101" s="141" t="s">
        <v>11</v>
      </c>
      <c r="D101" s="257">
        <f>VLOOKUP(C101,'Input keuzevariabelen'!$B:$C,2,FALSE)</f>
        <v>1</v>
      </c>
      <c r="E101" s="137">
        <v>2021</v>
      </c>
      <c r="F101" s="142" t="s">
        <v>13</v>
      </c>
      <c r="G101" s="106">
        <f>VLOOKUP(H101,'Input keuzevariabelen'!$F:$J,2,FALSE)</f>
        <v>2</v>
      </c>
      <c r="H101" s="112" t="s">
        <v>31</v>
      </c>
      <c r="I101" s="332">
        <v>2245773</v>
      </c>
      <c r="J101" s="288">
        <f t="shared" si="3"/>
        <v>2245773</v>
      </c>
      <c r="K101" s="107" t="str">
        <f>VLOOKUP(H101,'Input keuzevariabelen'!$F:$J,3,FALSE)</f>
        <v>kWh</v>
      </c>
      <c r="L101" s="107">
        <f>SUMIFS('Input keuzevariabelen'!$I:$I,'Input keuzevariabelen'!$F:$F,Data!H101,'Input keuzevariabelen'!$K:$K,Data!E101)</f>
        <v>0</v>
      </c>
      <c r="M101" s="107" t="str">
        <f>VLOOKUP(H101,'Input keuzevariabelen'!$F:$J,5,FALSE)</f>
        <v>gram CO2/kWh</v>
      </c>
      <c r="N101" s="284">
        <f t="shared" si="4"/>
        <v>0</v>
      </c>
      <c r="O101" s="115" t="s">
        <v>186</v>
      </c>
      <c r="P101" s="115" t="s">
        <v>187</v>
      </c>
      <c r="Q101" s="109" t="s">
        <v>116</v>
      </c>
      <c r="R101" s="107">
        <f>SUMIFS('Input keuzevariabelen'!$P:$P,'Input keuzevariabelen'!$M:$M,Data!H101)</f>
        <v>5.2199999999999998E-3</v>
      </c>
      <c r="S101" s="291">
        <f t="shared" si="5"/>
        <v>11722.93506</v>
      </c>
    </row>
    <row r="102" spans="3:19" ht="16.5" thickTop="1" thickBot="1" x14ac:dyDescent="0.25">
      <c r="C102" s="141" t="s">
        <v>11</v>
      </c>
      <c r="D102" s="257">
        <f>VLOOKUP(C102,'Input keuzevariabelen'!$B:$C,2,FALSE)</f>
        <v>1</v>
      </c>
      <c r="E102" s="137">
        <v>2021</v>
      </c>
      <c r="F102" s="142" t="s">
        <v>13</v>
      </c>
      <c r="G102" s="106">
        <f>VLOOKUP(H102,'Input keuzevariabelen'!$F:$J,2,FALSE)</f>
        <v>2</v>
      </c>
      <c r="H102" s="112" t="s">
        <v>31</v>
      </c>
      <c r="I102" s="333">
        <v>15271504</v>
      </c>
      <c r="J102" s="288">
        <f t="shared" si="3"/>
        <v>15271504</v>
      </c>
      <c r="K102" s="107" t="str">
        <f>VLOOKUP(H102,'Input keuzevariabelen'!$F:$J,3,FALSE)</f>
        <v>kWh</v>
      </c>
      <c r="L102" s="107">
        <f>SUMIFS('Input keuzevariabelen'!$I:$I,'Input keuzevariabelen'!$F:$F,Data!H102,'Input keuzevariabelen'!$K:$K,Data!E102)</f>
        <v>0</v>
      </c>
      <c r="M102" s="107" t="str">
        <f>VLOOKUP(H102,'Input keuzevariabelen'!$F:$J,5,FALSE)</f>
        <v>gram CO2/kWh</v>
      </c>
      <c r="N102" s="284">
        <f t="shared" si="4"/>
        <v>0</v>
      </c>
      <c r="O102" s="115" t="s">
        <v>186</v>
      </c>
      <c r="P102" s="115" t="s">
        <v>187</v>
      </c>
      <c r="Q102" s="112" t="s">
        <v>117</v>
      </c>
      <c r="R102" s="107">
        <f>SUMIFS('Input keuzevariabelen'!$P:$P,'Input keuzevariabelen'!$M:$M,Data!H102)</f>
        <v>5.2199999999999998E-3</v>
      </c>
      <c r="S102" s="291">
        <f t="shared" si="5"/>
        <v>79717.250879999992</v>
      </c>
    </row>
    <row r="103" spans="3:19" ht="16.5" thickTop="1" thickBot="1" x14ac:dyDescent="0.25">
      <c r="C103" s="141" t="s">
        <v>11</v>
      </c>
      <c r="D103" s="257">
        <f>VLOOKUP(C103,'Input keuzevariabelen'!$B:$C,2,FALSE)</f>
        <v>1</v>
      </c>
      <c r="E103" s="137">
        <v>2021</v>
      </c>
      <c r="F103" s="142" t="s">
        <v>13</v>
      </c>
      <c r="G103" s="106">
        <f>VLOOKUP(H103,'Input keuzevariabelen'!$F:$J,2,FALSE)</f>
        <v>2</v>
      </c>
      <c r="H103" s="112" t="s">
        <v>31</v>
      </c>
      <c r="I103" s="332">
        <v>8695438</v>
      </c>
      <c r="J103" s="288">
        <f t="shared" si="3"/>
        <v>8695438</v>
      </c>
      <c r="K103" s="107" t="str">
        <f>VLOOKUP(H103,'Input keuzevariabelen'!$F:$J,3,FALSE)</f>
        <v>kWh</v>
      </c>
      <c r="L103" s="107">
        <f>SUMIFS('Input keuzevariabelen'!$I:$I,'Input keuzevariabelen'!$F:$F,Data!H103,'Input keuzevariabelen'!$K:$K,Data!E103)</f>
        <v>0</v>
      </c>
      <c r="M103" s="107" t="str">
        <f>VLOOKUP(H103,'Input keuzevariabelen'!$F:$J,5,FALSE)</f>
        <v>gram CO2/kWh</v>
      </c>
      <c r="N103" s="284">
        <f t="shared" si="4"/>
        <v>0</v>
      </c>
      <c r="O103" s="115" t="s">
        <v>186</v>
      </c>
      <c r="P103" s="115" t="s">
        <v>187</v>
      </c>
      <c r="Q103" s="112" t="s">
        <v>118</v>
      </c>
      <c r="R103" s="107">
        <f>SUMIFS('Input keuzevariabelen'!$P:$P,'Input keuzevariabelen'!$M:$M,Data!H103)</f>
        <v>5.2199999999999998E-3</v>
      </c>
      <c r="S103" s="291">
        <f t="shared" si="5"/>
        <v>45390.18636</v>
      </c>
    </row>
    <row r="104" spans="3:19" ht="16.5" thickTop="1" thickBot="1" x14ac:dyDescent="0.25">
      <c r="C104" s="141" t="s">
        <v>11</v>
      </c>
      <c r="D104" s="257">
        <f>VLOOKUP(C104,'Input keuzevariabelen'!$B:$C,2,FALSE)</f>
        <v>1</v>
      </c>
      <c r="E104" s="137">
        <v>2021</v>
      </c>
      <c r="F104" s="142" t="s">
        <v>13</v>
      </c>
      <c r="G104" s="106">
        <f>VLOOKUP(H104,'Input keuzevariabelen'!$F:$J,2,FALSE)</f>
        <v>2</v>
      </c>
      <c r="H104" s="112" t="s">
        <v>31</v>
      </c>
      <c r="I104" s="333">
        <v>37041339</v>
      </c>
      <c r="J104" s="288">
        <f t="shared" si="3"/>
        <v>37041339</v>
      </c>
      <c r="K104" s="107" t="str">
        <f>VLOOKUP(H104,'Input keuzevariabelen'!$F:$J,3,FALSE)</f>
        <v>kWh</v>
      </c>
      <c r="L104" s="107">
        <f>SUMIFS('Input keuzevariabelen'!$I:$I,'Input keuzevariabelen'!$F:$F,Data!H104,'Input keuzevariabelen'!$K:$K,Data!E104)</f>
        <v>0</v>
      </c>
      <c r="M104" s="107" t="str">
        <f>VLOOKUP(H104,'Input keuzevariabelen'!$F:$J,5,FALSE)</f>
        <v>gram CO2/kWh</v>
      </c>
      <c r="N104" s="284">
        <f t="shared" si="4"/>
        <v>0</v>
      </c>
      <c r="O104" s="115" t="s">
        <v>186</v>
      </c>
      <c r="P104" s="115" t="s">
        <v>187</v>
      </c>
      <c r="Q104" s="115" t="s">
        <v>119</v>
      </c>
      <c r="R104" s="107">
        <f>SUMIFS('Input keuzevariabelen'!$P:$P,'Input keuzevariabelen'!$M:$M,Data!H104)</f>
        <v>5.2199999999999998E-3</v>
      </c>
      <c r="S104" s="291">
        <f t="shared" si="5"/>
        <v>193355.78957999998</v>
      </c>
    </row>
    <row r="105" spans="3:19" ht="16.5" thickTop="1" thickBot="1" x14ac:dyDescent="0.25">
      <c r="C105" s="141" t="s">
        <v>11</v>
      </c>
      <c r="D105" s="257">
        <f>VLOOKUP(C105,'Input keuzevariabelen'!$B:$C,2,FALSE)</f>
        <v>1</v>
      </c>
      <c r="E105" s="137">
        <v>2021</v>
      </c>
      <c r="F105" s="142" t="s">
        <v>13</v>
      </c>
      <c r="G105" s="106">
        <f>VLOOKUP(H105,'Input keuzevariabelen'!$F:$J,2,FALSE)</f>
        <v>2</v>
      </c>
      <c r="H105" s="112" t="s">
        <v>31</v>
      </c>
      <c r="I105" s="332">
        <v>34000</v>
      </c>
      <c r="J105" s="288">
        <f t="shared" si="3"/>
        <v>34000</v>
      </c>
      <c r="K105" s="107" t="str">
        <f>VLOOKUP(H105,'Input keuzevariabelen'!$F:$J,3,FALSE)</f>
        <v>kWh</v>
      </c>
      <c r="L105" s="107">
        <f>SUMIFS('Input keuzevariabelen'!$I:$I,'Input keuzevariabelen'!$F:$F,Data!H105,'Input keuzevariabelen'!$K:$K,Data!E105)</f>
        <v>0</v>
      </c>
      <c r="M105" s="107" t="str">
        <f>VLOOKUP(H105,'Input keuzevariabelen'!$F:$J,5,FALSE)</f>
        <v>gram CO2/kWh</v>
      </c>
      <c r="N105" s="284">
        <f t="shared" si="4"/>
        <v>0</v>
      </c>
      <c r="O105" s="112" t="s">
        <v>186</v>
      </c>
      <c r="P105" s="115" t="s">
        <v>188</v>
      </c>
      <c r="Q105" s="115" t="s">
        <v>119</v>
      </c>
      <c r="R105" s="107">
        <f>SUMIFS('Input keuzevariabelen'!$P:$P,'Input keuzevariabelen'!$M:$M,Data!H105)</f>
        <v>5.2199999999999998E-3</v>
      </c>
      <c r="S105" s="291">
        <f t="shared" si="5"/>
        <v>177.48</v>
      </c>
    </row>
    <row r="106" spans="3:19" ht="16.5" thickTop="1" thickBot="1" x14ac:dyDescent="0.25">
      <c r="C106" s="141" t="s">
        <v>11</v>
      </c>
      <c r="D106" s="257">
        <f>VLOOKUP(C106,'Input keuzevariabelen'!$B:$C,2,FALSE)</f>
        <v>1</v>
      </c>
      <c r="E106" s="137">
        <v>2021</v>
      </c>
      <c r="F106" s="142" t="s">
        <v>13</v>
      </c>
      <c r="G106" s="106">
        <f>VLOOKUP(H106,'Input keuzevariabelen'!$F:$J,2,FALSE)</f>
        <v>1</v>
      </c>
      <c r="H106" s="112" t="s">
        <v>21</v>
      </c>
      <c r="I106" s="332">
        <v>16562</v>
      </c>
      <c r="J106" s="288">
        <f t="shared" si="3"/>
        <v>16562</v>
      </c>
      <c r="K106" s="107" t="str">
        <f>VLOOKUP(H106,'Input keuzevariabelen'!$F:$J,3,FALSE)</f>
        <v>m3</v>
      </c>
      <c r="L106" s="107">
        <f>SUMIFS('Input keuzevariabelen'!$I:$I,'Input keuzevariabelen'!$F:$F,Data!H106,'Input keuzevariabelen'!$K:$K,Data!E106)</f>
        <v>1884</v>
      </c>
      <c r="M106" s="107" t="str">
        <f>VLOOKUP(H106,'Input keuzevariabelen'!$F:$J,5,FALSE)</f>
        <v>gram CO2/m3</v>
      </c>
      <c r="N106" s="284">
        <f t="shared" si="4"/>
        <v>31.202808000000001</v>
      </c>
      <c r="O106" s="115" t="s">
        <v>186</v>
      </c>
      <c r="P106" s="115" t="s">
        <v>161</v>
      </c>
      <c r="Q106" s="112" t="s">
        <v>120</v>
      </c>
      <c r="R106" s="107">
        <f>SUMIFS('Input keuzevariabelen'!$P:$P,'Input keuzevariabelen'!$M:$M,Data!H106)</f>
        <v>3.1649999999999998E-2</v>
      </c>
      <c r="S106" s="291">
        <f t="shared" si="5"/>
        <v>524.18729999999994</v>
      </c>
    </row>
    <row r="107" spans="3:19" ht="16.5" thickTop="1" thickBot="1" x14ac:dyDescent="0.25">
      <c r="C107" s="141" t="s">
        <v>11</v>
      </c>
      <c r="D107" s="257">
        <f>VLOOKUP(C107,'Input keuzevariabelen'!$B:$C,2,FALSE)</f>
        <v>1</v>
      </c>
      <c r="E107" s="137">
        <v>2021</v>
      </c>
      <c r="F107" s="142" t="s">
        <v>13</v>
      </c>
      <c r="G107" s="106">
        <f>VLOOKUP(H107,'Input keuzevariabelen'!$F:$J,2,FALSE)</f>
        <v>1</v>
      </c>
      <c r="H107" s="112" t="s">
        <v>21</v>
      </c>
      <c r="I107" s="332">
        <v>80318</v>
      </c>
      <c r="J107" s="288">
        <f t="shared" si="3"/>
        <v>80318</v>
      </c>
      <c r="K107" s="107" t="str">
        <f>VLOOKUP(H107,'Input keuzevariabelen'!$F:$J,3,FALSE)</f>
        <v>m3</v>
      </c>
      <c r="L107" s="107">
        <f>SUMIFS('Input keuzevariabelen'!$I:$I,'Input keuzevariabelen'!$F:$F,Data!H107,'Input keuzevariabelen'!$K:$K,Data!E107)</f>
        <v>1884</v>
      </c>
      <c r="M107" s="107" t="str">
        <f>VLOOKUP(H107,'Input keuzevariabelen'!$F:$J,5,FALSE)</f>
        <v>gram CO2/m3</v>
      </c>
      <c r="N107" s="284">
        <f t="shared" si="4"/>
        <v>151.31911199999999</v>
      </c>
      <c r="O107" s="115" t="s">
        <v>186</v>
      </c>
      <c r="P107" s="115" t="s">
        <v>161</v>
      </c>
      <c r="Q107" s="112" t="s">
        <v>121</v>
      </c>
      <c r="R107" s="107">
        <f>SUMIFS('Input keuzevariabelen'!$P:$P,'Input keuzevariabelen'!$M:$M,Data!H107)</f>
        <v>3.1649999999999998E-2</v>
      </c>
      <c r="S107" s="291">
        <f t="shared" si="5"/>
        <v>2542.0646999999999</v>
      </c>
    </row>
    <row r="108" spans="3:19" ht="16.5" thickTop="1" thickBot="1" x14ac:dyDescent="0.25">
      <c r="C108" s="140" t="s">
        <v>11</v>
      </c>
      <c r="D108" s="257">
        <f>VLOOKUP(C108,'Input keuzevariabelen'!$B:$C,2,FALSE)</f>
        <v>1</v>
      </c>
      <c r="E108" s="137">
        <v>2021</v>
      </c>
      <c r="F108" s="142" t="s">
        <v>13</v>
      </c>
      <c r="G108" s="106">
        <f>VLOOKUP(H108,'Input keuzevariabelen'!$F:$J,2,FALSE)</f>
        <v>1</v>
      </c>
      <c r="H108" s="112" t="s">
        <v>21</v>
      </c>
      <c r="I108" s="332">
        <v>10389</v>
      </c>
      <c r="J108" s="288">
        <f t="shared" si="3"/>
        <v>10389</v>
      </c>
      <c r="K108" s="107" t="str">
        <f>VLOOKUP(H108,'Input keuzevariabelen'!$F:$J,3,FALSE)</f>
        <v>m3</v>
      </c>
      <c r="L108" s="107">
        <f>SUMIFS('Input keuzevariabelen'!$I:$I,'Input keuzevariabelen'!$F:$F,Data!H108,'Input keuzevariabelen'!$K:$K,Data!E108)</f>
        <v>1884</v>
      </c>
      <c r="M108" s="107" t="str">
        <f>VLOOKUP(H108,'Input keuzevariabelen'!$F:$J,5,FALSE)</f>
        <v>gram CO2/m3</v>
      </c>
      <c r="N108" s="284">
        <f t="shared" si="4"/>
        <v>19.572876000000001</v>
      </c>
      <c r="O108" s="115" t="s">
        <v>186</v>
      </c>
      <c r="P108" s="112" t="s">
        <v>161</v>
      </c>
      <c r="Q108" s="112" t="s">
        <v>116</v>
      </c>
      <c r="R108" s="107">
        <f>SUMIFS('Input keuzevariabelen'!$P:$P,'Input keuzevariabelen'!$M:$M,Data!H108)</f>
        <v>3.1649999999999998E-2</v>
      </c>
      <c r="S108" s="291">
        <f t="shared" si="5"/>
        <v>328.81184999999999</v>
      </c>
    </row>
    <row r="109" spans="3:19" ht="16.5" thickTop="1" thickBot="1" x14ac:dyDescent="0.25">
      <c r="C109" s="141" t="s">
        <v>11</v>
      </c>
      <c r="D109" s="257">
        <f>VLOOKUP(C109,'Input keuzevariabelen'!$B:$C,2,FALSE)</f>
        <v>1</v>
      </c>
      <c r="E109" s="137">
        <v>2021</v>
      </c>
      <c r="F109" s="142" t="s">
        <v>13</v>
      </c>
      <c r="G109" s="106">
        <f>VLOOKUP(H109,'Input keuzevariabelen'!$F:$J,2,FALSE)</f>
        <v>1</v>
      </c>
      <c r="H109" s="112" t="s">
        <v>21</v>
      </c>
      <c r="I109" s="332">
        <v>482075</v>
      </c>
      <c r="J109" s="288">
        <f t="shared" si="3"/>
        <v>482075</v>
      </c>
      <c r="K109" s="107" t="str">
        <f>VLOOKUP(H109,'Input keuzevariabelen'!$F:$J,3,FALSE)</f>
        <v>m3</v>
      </c>
      <c r="L109" s="107">
        <f>SUMIFS('Input keuzevariabelen'!$I:$I,'Input keuzevariabelen'!$F:$F,Data!H109,'Input keuzevariabelen'!$K:$K,Data!E109)</f>
        <v>1884</v>
      </c>
      <c r="M109" s="107" t="str">
        <f>VLOOKUP(H109,'Input keuzevariabelen'!$F:$J,5,FALSE)</f>
        <v>gram CO2/m3</v>
      </c>
      <c r="N109" s="284">
        <f t="shared" si="4"/>
        <v>908.22929999999997</v>
      </c>
      <c r="O109" s="115" t="s">
        <v>186</v>
      </c>
      <c r="P109" s="115" t="s">
        <v>161</v>
      </c>
      <c r="Q109" s="107" t="s">
        <v>117</v>
      </c>
      <c r="R109" s="107">
        <f>SUMIFS('Input keuzevariabelen'!$P:$P,'Input keuzevariabelen'!$M:$M,Data!H109)</f>
        <v>3.1649999999999998E-2</v>
      </c>
      <c r="S109" s="291">
        <f t="shared" si="5"/>
        <v>15257.673749999998</v>
      </c>
    </row>
    <row r="110" spans="3:19" ht="16.5" thickTop="1" thickBot="1" x14ac:dyDescent="0.25">
      <c r="C110" s="141" t="s">
        <v>11</v>
      </c>
      <c r="D110" s="257">
        <f>VLOOKUP(C110,'Input keuzevariabelen'!$B:$C,2,FALSE)</f>
        <v>1</v>
      </c>
      <c r="E110" s="137">
        <v>2021</v>
      </c>
      <c r="F110" s="142" t="s">
        <v>13</v>
      </c>
      <c r="G110" s="106">
        <f>VLOOKUP(H110,'Input keuzevariabelen'!$F:$J,2,FALSE)</f>
        <v>1</v>
      </c>
      <c r="H110" s="112" t="s">
        <v>21</v>
      </c>
      <c r="I110" s="332">
        <v>421887</v>
      </c>
      <c r="J110" s="288">
        <f t="shared" si="3"/>
        <v>421887</v>
      </c>
      <c r="K110" s="107" t="str">
        <f>VLOOKUP(H110,'Input keuzevariabelen'!$F:$J,3,FALSE)</f>
        <v>m3</v>
      </c>
      <c r="L110" s="107">
        <f>SUMIFS('Input keuzevariabelen'!$I:$I,'Input keuzevariabelen'!$F:$F,Data!H110,'Input keuzevariabelen'!$K:$K,Data!E110)</f>
        <v>1884</v>
      </c>
      <c r="M110" s="107" t="str">
        <f>VLOOKUP(H110,'Input keuzevariabelen'!$F:$J,5,FALSE)</f>
        <v>gram CO2/m3</v>
      </c>
      <c r="N110" s="284">
        <f t="shared" si="4"/>
        <v>794.83510799999999</v>
      </c>
      <c r="O110" s="115" t="s">
        <v>186</v>
      </c>
      <c r="P110" s="115" t="s">
        <v>161</v>
      </c>
      <c r="Q110" s="109" t="s">
        <v>118</v>
      </c>
      <c r="R110" s="107">
        <f>SUMIFS('Input keuzevariabelen'!$P:$P,'Input keuzevariabelen'!$M:$M,Data!H110)</f>
        <v>3.1649999999999998E-2</v>
      </c>
      <c r="S110" s="291">
        <f t="shared" si="5"/>
        <v>13352.723549999999</v>
      </c>
    </row>
    <row r="111" spans="3:19" ht="16.5" thickTop="1" thickBot="1" x14ac:dyDescent="0.25">
      <c r="C111" s="141" t="s">
        <v>11</v>
      </c>
      <c r="D111" s="257">
        <f>VLOOKUP(C111,'Input keuzevariabelen'!$B:$C,2,FALSE)</f>
        <v>1</v>
      </c>
      <c r="E111" s="137">
        <v>2021</v>
      </c>
      <c r="F111" s="142" t="s">
        <v>13</v>
      </c>
      <c r="G111" s="106">
        <f>VLOOKUP(H111,'Input keuzevariabelen'!$F:$J,2,FALSE)</f>
        <v>1</v>
      </c>
      <c r="H111" s="112" t="s">
        <v>21</v>
      </c>
      <c r="I111" s="332">
        <v>1028829</v>
      </c>
      <c r="J111" s="288">
        <f t="shared" si="3"/>
        <v>1028829</v>
      </c>
      <c r="K111" s="107" t="str">
        <f>VLOOKUP(H111,'Input keuzevariabelen'!$F:$J,3,FALSE)</f>
        <v>m3</v>
      </c>
      <c r="L111" s="107">
        <f>SUMIFS('Input keuzevariabelen'!$I:$I,'Input keuzevariabelen'!$F:$F,Data!H111,'Input keuzevariabelen'!$K:$K,Data!E111)</f>
        <v>1884</v>
      </c>
      <c r="M111" s="107" t="str">
        <f>VLOOKUP(H111,'Input keuzevariabelen'!$F:$J,5,FALSE)</f>
        <v>gram CO2/m3</v>
      </c>
      <c r="N111" s="284">
        <f t="shared" si="4"/>
        <v>1938.313836</v>
      </c>
      <c r="O111" s="115" t="s">
        <v>186</v>
      </c>
      <c r="P111" s="115" t="s">
        <v>161</v>
      </c>
      <c r="Q111" s="109" t="s">
        <v>119</v>
      </c>
      <c r="R111" s="107">
        <f>SUMIFS('Input keuzevariabelen'!$P:$P,'Input keuzevariabelen'!$M:$M,Data!H111)</f>
        <v>3.1649999999999998E-2</v>
      </c>
      <c r="S111" s="291">
        <f t="shared" si="5"/>
        <v>32562.437849999998</v>
      </c>
    </row>
    <row r="112" spans="3:19" ht="16.5" thickTop="1" thickBot="1" x14ac:dyDescent="0.25">
      <c r="C112" s="141" t="s">
        <v>11</v>
      </c>
      <c r="D112" s="257">
        <f>VLOOKUP(C112,'Input keuzevariabelen'!$B:$C,2,FALSE)</f>
        <v>1</v>
      </c>
      <c r="E112" s="137">
        <v>2021</v>
      </c>
      <c r="F112" s="142" t="s">
        <v>13</v>
      </c>
      <c r="G112" s="106" t="str">
        <f>VLOOKUP(H112,'Input keuzevariabelen'!$F:$J,2,FALSE)</f>
        <v>Memo</v>
      </c>
      <c r="H112" s="112" t="s">
        <v>50</v>
      </c>
      <c r="I112" s="332">
        <v>6540</v>
      </c>
      <c r="J112" s="288">
        <f t="shared" si="3"/>
        <v>6540</v>
      </c>
      <c r="K112" s="107" t="str">
        <f>VLOOKUP(H112,'Input keuzevariabelen'!$F:$J,3,FALSE)</f>
        <v>m3</v>
      </c>
      <c r="L112" s="107">
        <f>SUMIFS('Input keuzevariabelen'!$I:$I,'Input keuzevariabelen'!$F:$F,Data!H112,'Input keuzevariabelen'!$K:$K,Data!E112)</f>
        <v>1962</v>
      </c>
      <c r="M112" s="107" t="str">
        <f>VLOOKUP(H112,'Input keuzevariabelen'!$F:$J,5,FALSE)</f>
        <v>gram CO2/m3</v>
      </c>
      <c r="N112" s="284">
        <f t="shared" si="4"/>
        <v>12.831480000000001</v>
      </c>
      <c r="O112" s="115" t="s">
        <v>186</v>
      </c>
      <c r="P112" s="115" t="s">
        <v>189</v>
      </c>
      <c r="Q112" s="109" t="s">
        <v>116</v>
      </c>
      <c r="R112" s="107">
        <f>SUMIFS('Input keuzevariabelen'!$P:$P,'Input keuzevariabelen'!$M:$M,Data!H112)</f>
        <v>0</v>
      </c>
      <c r="S112" s="291">
        <f t="shared" si="5"/>
        <v>0</v>
      </c>
    </row>
    <row r="113" spans="3:19" ht="16.5" thickTop="1" thickBot="1" x14ac:dyDescent="0.25">
      <c r="C113" s="141" t="s">
        <v>11</v>
      </c>
      <c r="D113" s="257">
        <f>VLOOKUP(C113,'Input keuzevariabelen'!$B:$C,2,FALSE)</f>
        <v>1</v>
      </c>
      <c r="E113" s="137">
        <v>2021</v>
      </c>
      <c r="F113" s="142" t="s">
        <v>13</v>
      </c>
      <c r="G113" s="106" t="str">
        <f>VLOOKUP(H113,'Input keuzevariabelen'!$F:$J,2,FALSE)</f>
        <v>Memo</v>
      </c>
      <c r="H113" s="112" t="s">
        <v>50</v>
      </c>
      <c r="I113" s="332">
        <v>38322</v>
      </c>
      <c r="J113" s="288">
        <f t="shared" si="3"/>
        <v>38322</v>
      </c>
      <c r="K113" s="107" t="str">
        <f>VLOOKUP(H113,'Input keuzevariabelen'!$F:$J,3,FALSE)</f>
        <v>m3</v>
      </c>
      <c r="L113" s="107">
        <f>SUMIFS('Input keuzevariabelen'!$I:$I,'Input keuzevariabelen'!$F:$F,Data!H113,'Input keuzevariabelen'!$K:$K,Data!E113)</f>
        <v>1962</v>
      </c>
      <c r="M113" s="107" t="str">
        <f>VLOOKUP(H113,'Input keuzevariabelen'!$F:$J,5,FALSE)</f>
        <v>gram CO2/m3</v>
      </c>
      <c r="N113" s="284">
        <f t="shared" si="4"/>
        <v>75.187764000000001</v>
      </c>
      <c r="O113" s="115" t="s">
        <v>186</v>
      </c>
      <c r="P113" s="115" t="s">
        <v>189</v>
      </c>
      <c r="Q113" s="109" t="s">
        <v>117</v>
      </c>
      <c r="R113" s="107">
        <f>SUMIFS('Input keuzevariabelen'!$P:$P,'Input keuzevariabelen'!$M:$M,Data!H113)</f>
        <v>0</v>
      </c>
      <c r="S113" s="291">
        <f t="shared" si="5"/>
        <v>0</v>
      </c>
    </row>
    <row r="114" spans="3:19" ht="16.5" thickTop="1" thickBot="1" x14ac:dyDescent="0.25">
      <c r="C114" s="141" t="s">
        <v>11</v>
      </c>
      <c r="D114" s="257">
        <f>VLOOKUP(C114,'Input keuzevariabelen'!$B:$C,2,FALSE)</f>
        <v>1</v>
      </c>
      <c r="E114" s="137">
        <v>2021</v>
      </c>
      <c r="F114" s="142" t="s">
        <v>13</v>
      </c>
      <c r="G114" s="106" t="str">
        <f>VLOOKUP(H114,'Input keuzevariabelen'!$F:$J,2,FALSE)</f>
        <v>Memo</v>
      </c>
      <c r="H114" s="112" t="s">
        <v>50</v>
      </c>
      <c r="I114" s="332">
        <v>80939.082679400002</v>
      </c>
      <c r="J114" s="288">
        <f t="shared" si="3"/>
        <v>80939.082679400002</v>
      </c>
      <c r="K114" s="107" t="str">
        <f>VLOOKUP(H114,'Input keuzevariabelen'!$F:$J,3,FALSE)</f>
        <v>m3</v>
      </c>
      <c r="L114" s="107">
        <f>SUMIFS('Input keuzevariabelen'!$I:$I,'Input keuzevariabelen'!$F:$F,Data!H114,'Input keuzevariabelen'!$K:$K,Data!E114)</f>
        <v>1962</v>
      </c>
      <c r="M114" s="107" t="str">
        <f>VLOOKUP(H114,'Input keuzevariabelen'!$F:$J,5,FALSE)</f>
        <v>gram CO2/m3</v>
      </c>
      <c r="N114" s="284">
        <f t="shared" si="4"/>
        <v>158.80248021698281</v>
      </c>
      <c r="O114" s="115" t="s">
        <v>186</v>
      </c>
      <c r="P114" s="115" t="s">
        <v>189</v>
      </c>
      <c r="Q114" s="115" t="s">
        <v>118</v>
      </c>
      <c r="R114" s="107">
        <f>SUMIFS('Input keuzevariabelen'!$P:$P,'Input keuzevariabelen'!$M:$M,Data!H114)</f>
        <v>0</v>
      </c>
      <c r="S114" s="291">
        <f t="shared" si="5"/>
        <v>0</v>
      </c>
    </row>
    <row r="115" spans="3:19" ht="16.5" thickTop="1" thickBot="1" x14ac:dyDescent="0.25">
      <c r="C115" s="141" t="s">
        <v>11</v>
      </c>
      <c r="D115" s="257">
        <f>VLOOKUP(C115,'Input keuzevariabelen'!$B:$C,2,FALSE)</f>
        <v>1</v>
      </c>
      <c r="E115" s="137">
        <v>2021</v>
      </c>
      <c r="F115" s="142" t="s">
        <v>13</v>
      </c>
      <c r="G115" s="106" t="str">
        <f>VLOOKUP(H115,'Input keuzevariabelen'!$F:$J,2,FALSE)</f>
        <v>Memo</v>
      </c>
      <c r="H115" s="112" t="s">
        <v>50</v>
      </c>
      <c r="I115" s="332">
        <v>24692</v>
      </c>
      <c r="J115" s="288">
        <f t="shared" si="3"/>
        <v>24692</v>
      </c>
      <c r="K115" s="107" t="str">
        <f>VLOOKUP(H115,'Input keuzevariabelen'!$F:$J,3,FALSE)</f>
        <v>m3</v>
      </c>
      <c r="L115" s="107">
        <f>SUMIFS('Input keuzevariabelen'!$I:$I,'Input keuzevariabelen'!$F:$F,Data!H115,'Input keuzevariabelen'!$K:$K,Data!E115)</f>
        <v>1962</v>
      </c>
      <c r="M115" s="107" t="str">
        <f>VLOOKUP(H115,'Input keuzevariabelen'!$F:$J,5,FALSE)</f>
        <v>gram CO2/m3</v>
      </c>
      <c r="N115" s="284">
        <f t="shared" si="4"/>
        <v>48.445703999999999</v>
      </c>
      <c r="O115" s="115" t="s">
        <v>186</v>
      </c>
      <c r="P115" s="115" t="s">
        <v>189</v>
      </c>
      <c r="Q115" s="115" t="s">
        <v>119</v>
      </c>
      <c r="R115" s="107">
        <f>SUMIFS('Input keuzevariabelen'!$P:$P,'Input keuzevariabelen'!$M:$M,Data!H115)</f>
        <v>0</v>
      </c>
      <c r="S115" s="291">
        <f t="shared" si="5"/>
        <v>0</v>
      </c>
    </row>
    <row r="116" spans="3:19" ht="16.5" thickTop="1" thickBot="1" x14ac:dyDescent="0.25">
      <c r="C116" s="141" t="s">
        <v>11</v>
      </c>
      <c r="D116" s="257">
        <f>VLOOKUP(C116,'Input keuzevariabelen'!$B:$C,2,FALSE)</f>
        <v>1</v>
      </c>
      <c r="E116" s="137">
        <v>2021</v>
      </c>
      <c r="F116" s="142" t="s">
        <v>13</v>
      </c>
      <c r="G116" s="106" t="str">
        <f>VLOOKUP(H116,'Input keuzevariabelen'!$F:$J,2,FALSE)</f>
        <v>Memo</v>
      </c>
      <c r="H116" s="112" t="s">
        <v>48</v>
      </c>
      <c r="I116" s="332">
        <v>527432</v>
      </c>
      <c r="J116" s="288">
        <f t="shared" si="3"/>
        <v>527432</v>
      </c>
      <c r="K116" s="107" t="str">
        <f>VLOOKUP(H116,'Input keuzevariabelen'!$F:$J,3,FALSE)</f>
        <v>m3</v>
      </c>
      <c r="L116" s="107">
        <f>SUMIFS('Input keuzevariabelen'!$I:$I,'Input keuzevariabelen'!$F:$F,Data!H116,'Input keuzevariabelen'!$K:$K,Data!E116)</f>
        <v>1962</v>
      </c>
      <c r="M116" s="107" t="str">
        <f>VLOOKUP(H116,'Input keuzevariabelen'!$F:$J,5,FALSE)</f>
        <v>gram CO2/m3</v>
      </c>
      <c r="N116" s="284">
        <f t="shared" si="4"/>
        <v>1034.821584</v>
      </c>
      <c r="O116" s="115" t="s">
        <v>186</v>
      </c>
      <c r="P116" s="115" t="s">
        <v>190</v>
      </c>
      <c r="Q116" s="109" t="s">
        <v>116</v>
      </c>
      <c r="R116" s="107">
        <f>SUMIFS('Input keuzevariabelen'!$P:$P,'Input keuzevariabelen'!$M:$M,Data!H116)</f>
        <v>0</v>
      </c>
      <c r="S116" s="291">
        <f t="shared" si="5"/>
        <v>0</v>
      </c>
    </row>
    <row r="117" spans="3:19" ht="16.5" thickTop="1" thickBot="1" x14ac:dyDescent="0.25">
      <c r="C117" s="141" t="s">
        <v>11</v>
      </c>
      <c r="D117" s="257">
        <f>VLOOKUP(C117,'Input keuzevariabelen'!$B:$C,2,FALSE)</f>
        <v>1</v>
      </c>
      <c r="E117" s="137">
        <v>2021</v>
      </c>
      <c r="F117" s="142" t="s">
        <v>13</v>
      </c>
      <c r="G117" s="106" t="str">
        <f>VLOOKUP(H117,'Input keuzevariabelen'!$F:$J,2,FALSE)</f>
        <v>Memo</v>
      </c>
      <c r="H117" s="112" t="s">
        <v>48</v>
      </c>
      <c r="I117" s="332">
        <v>202393</v>
      </c>
      <c r="J117" s="288">
        <f t="shared" si="3"/>
        <v>202393</v>
      </c>
      <c r="K117" s="107" t="str">
        <f>VLOOKUP(H117,'Input keuzevariabelen'!$F:$J,3,FALSE)</f>
        <v>m3</v>
      </c>
      <c r="L117" s="107">
        <f>SUMIFS('Input keuzevariabelen'!$I:$I,'Input keuzevariabelen'!$F:$F,Data!H117,'Input keuzevariabelen'!$K:$K,Data!E117)</f>
        <v>1962</v>
      </c>
      <c r="M117" s="107" t="str">
        <f>VLOOKUP(H117,'Input keuzevariabelen'!$F:$J,5,FALSE)</f>
        <v>gram CO2/m3</v>
      </c>
      <c r="N117" s="284">
        <f t="shared" si="4"/>
        <v>397.09506599999997</v>
      </c>
      <c r="O117" s="115" t="s">
        <v>186</v>
      </c>
      <c r="P117" s="115" t="s">
        <v>190</v>
      </c>
      <c r="Q117" s="109" t="s">
        <v>117</v>
      </c>
      <c r="R117" s="107">
        <f>SUMIFS('Input keuzevariabelen'!$P:$P,'Input keuzevariabelen'!$M:$M,Data!H117)</f>
        <v>0</v>
      </c>
      <c r="S117" s="291">
        <f t="shared" si="5"/>
        <v>0</v>
      </c>
    </row>
    <row r="118" spans="3:19" ht="16.5" thickTop="1" thickBot="1" x14ac:dyDescent="0.25">
      <c r="C118" s="141" t="s">
        <v>11</v>
      </c>
      <c r="D118" s="257">
        <f>VLOOKUP(C118,'Input keuzevariabelen'!$B:$C,2,FALSE)</f>
        <v>1</v>
      </c>
      <c r="E118" s="137">
        <v>2021</v>
      </c>
      <c r="F118" s="142" t="s">
        <v>13</v>
      </c>
      <c r="G118" s="106" t="str">
        <f>VLOOKUP(H118,'Input keuzevariabelen'!$F:$J,2,FALSE)</f>
        <v>Memo</v>
      </c>
      <c r="H118" s="112" t="s">
        <v>48</v>
      </c>
      <c r="I118" s="332">
        <v>316662</v>
      </c>
      <c r="J118" s="288">
        <f t="shared" si="3"/>
        <v>316662</v>
      </c>
      <c r="K118" s="107" t="str">
        <f>VLOOKUP(H118,'Input keuzevariabelen'!$F:$J,3,FALSE)</f>
        <v>m3</v>
      </c>
      <c r="L118" s="107">
        <f>SUMIFS('Input keuzevariabelen'!$I:$I,'Input keuzevariabelen'!$F:$F,Data!H118,'Input keuzevariabelen'!$K:$K,Data!E118)</f>
        <v>1962</v>
      </c>
      <c r="M118" s="107" t="str">
        <f>VLOOKUP(H118,'Input keuzevariabelen'!$F:$J,5,FALSE)</f>
        <v>gram CO2/m3</v>
      </c>
      <c r="N118" s="284">
        <f t="shared" si="4"/>
        <v>621.29084399999999</v>
      </c>
      <c r="O118" s="115" t="s">
        <v>186</v>
      </c>
      <c r="P118" s="115" t="s">
        <v>190</v>
      </c>
      <c r="Q118" s="115" t="s">
        <v>119</v>
      </c>
      <c r="R118" s="107">
        <f>SUMIFS('Input keuzevariabelen'!$P:$P,'Input keuzevariabelen'!$M:$M,Data!H118)</f>
        <v>0</v>
      </c>
      <c r="S118" s="291">
        <f t="shared" si="5"/>
        <v>0</v>
      </c>
    </row>
    <row r="119" spans="3:19" ht="16.5" thickTop="1" thickBot="1" x14ac:dyDescent="0.25">
      <c r="C119" s="141" t="s">
        <v>11</v>
      </c>
      <c r="D119" s="257">
        <f>VLOOKUP(C119,'Input keuzevariabelen'!$B:$C,2,FALSE)</f>
        <v>1</v>
      </c>
      <c r="E119" s="137">
        <v>2021</v>
      </c>
      <c r="F119" s="142" t="s">
        <v>13</v>
      </c>
      <c r="G119" s="106">
        <f>VLOOKUP(H119,'Input keuzevariabelen'!$F:$J,2,FALSE)</f>
        <v>1</v>
      </c>
      <c r="H119" s="112" t="s">
        <v>23</v>
      </c>
      <c r="I119" s="332">
        <v>868</v>
      </c>
      <c r="J119" s="288">
        <f t="shared" si="3"/>
        <v>868</v>
      </c>
      <c r="K119" s="107" t="str">
        <f>VLOOKUP(H119,'Input keuzevariabelen'!$F:$J,3,FALSE)</f>
        <v>liter</v>
      </c>
      <c r="L119" s="107">
        <f>SUMIFS('Input keuzevariabelen'!$I:$I,'Input keuzevariabelen'!$F:$F,Data!H119,'Input keuzevariabelen'!$K:$K,Data!E119)</f>
        <v>3262</v>
      </c>
      <c r="M119" s="107" t="str">
        <f>VLOOKUP(H119,'Input keuzevariabelen'!$F:$J,5,FALSE)</f>
        <v>gram CO2/liter</v>
      </c>
      <c r="N119" s="284">
        <f t="shared" si="4"/>
        <v>2.8314159999999999</v>
      </c>
      <c r="O119" s="115" t="s">
        <v>186</v>
      </c>
      <c r="P119" s="115" t="s">
        <v>191</v>
      </c>
      <c r="Q119" s="115" t="s">
        <v>119</v>
      </c>
      <c r="R119" s="107">
        <f>SUMIFS('Input keuzevariabelen'!$P:$P,'Input keuzevariabelen'!$M:$M,Data!H119)</f>
        <v>3.6299999999999999E-2</v>
      </c>
      <c r="S119" s="291">
        <f t="shared" si="5"/>
        <v>31.508399999999998</v>
      </c>
    </row>
    <row r="120" spans="3:19" ht="16.5" thickTop="1" thickBot="1" x14ac:dyDescent="0.25">
      <c r="C120" s="141" t="s">
        <v>11</v>
      </c>
      <c r="D120" s="257">
        <f>VLOOKUP(C120,'Input keuzevariabelen'!$B:$C,2,FALSE)</f>
        <v>1</v>
      </c>
      <c r="E120" s="137">
        <v>2021</v>
      </c>
      <c r="F120" s="142" t="s">
        <v>13</v>
      </c>
      <c r="G120" s="106">
        <f>VLOOKUP(H120,'Input keuzevariabelen'!$F:$J,2,FALSE)</f>
        <v>1</v>
      </c>
      <c r="H120" s="112" t="s">
        <v>25</v>
      </c>
      <c r="I120" s="332">
        <v>29034</v>
      </c>
      <c r="J120" s="288">
        <f t="shared" si="3"/>
        <v>29034</v>
      </c>
      <c r="K120" s="107" t="str">
        <f>VLOOKUP(H120,'Input keuzevariabelen'!$F:$J,3,FALSE)</f>
        <v>liter</v>
      </c>
      <c r="L120" s="107">
        <f>SUMIFS('Input keuzevariabelen'!$I:$I,'Input keuzevariabelen'!$F:$F,Data!H120,'Input keuzevariabelen'!$K:$K,Data!E120)</f>
        <v>2784</v>
      </c>
      <c r="M120" s="107" t="str">
        <f>VLOOKUP(H120,'Input keuzevariabelen'!$F:$J,5,FALSE)</f>
        <v>gram CO2/liter</v>
      </c>
      <c r="N120" s="284">
        <f t="shared" si="4"/>
        <v>80.830656000000005</v>
      </c>
      <c r="O120" s="115" t="s">
        <v>192</v>
      </c>
      <c r="P120" s="115"/>
      <c r="Q120" s="116"/>
      <c r="R120" s="107">
        <f>SUMIFS('Input keuzevariabelen'!$P:$P,'Input keuzevariabelen'!$M:$M,Data!H120)</f>
        <v>3.1E-2</v>
      </c>
      <c r="S120" s="291">
        <f t="shared" si="5"/>
        <v>900.05399999999997</v>
      </c>
    </row>
    <row r="121" spans="3:19" ht="16.5" thickTop="1" thickBot="1" x14ac:dyDescent="0.25">
      <c r="C121" s="141" t="s">
        <v>11</v>
      </c>
      <c r="D121" s="257">
        <f>VLOOKUP(C121,'Input keuzevariabelen'!$B:$C,2,FALSE)</f>
        <v>1</v>
      </c>
      <c r="E121" s="137">
        <v>2021</v>
      </c>
      <c r="F121" s="142" t="s">
        <v>13</v>
      </c>
      <c r="G121" s="106">
        <f>VLOOKUP(H121,'Input keuzevariabelen'!$F:$J,2,FALSE)</f>
        <v>1</v>
      </c>
      <c r="H121" s="112" t="s">
        <v>23</v>
      </c>
      <c r="I121" s="332">
        <v>27084</v>
      </c>
      <c r="J121" s="288">
        <f t="shared" si="3"/>
        <v>27084</v>
      </c>
      <c r="K121" s="107" t="str">
        <f>VLOOKUP(H121,'Input keuzevariabelen'!$F:$J,3,FALSE)</f>
        <v>liter</v>
      </c>
      <c r="L121" s="107">
        <f>SUMIFS('Input keuzevariabelen'!$I:$I,'Input keuzevariabelen'!$F:$F,Data!H121,'Input keuzevariabelen'!$K:$K,Data!E121)</f>
        <v>3262</v>
      </c>
      <c r="M121" s="107" t="str">
        <f>VLOOKUP(H121,'Input keuzevariabelen'!$F:$J,5,FALSE)</f>
        <v>gram CO2/liter</v>
      </c>
      <c r="N121" s="284">
        <f t="shared" si="4"/>
        <v>88.348007999999993</v>
      </c>
      <c r="O121" s="115" t="s">
        <v>192</v>
      </c>
      <c r="P121" s="115"/>
      <c r="Q121" s="116"/>
      <c r="R121" s="107">
        <f>SUMIFS('Input keuzevariabelen'!$P:$P,'Input keuzevariabelen'!$M:$M,Data!H121)</f>
        <v>3.6299999999999999E-2</v>
      </c>
      <c r="S121" s="291">
        <f t="shared" si="5"/>
        <v>983.14919999999995</v>
      </c>
    </row>
    <row r="122" spans="3:19" ht="16.5" thickTop="1" thickBot="1" x14ac:dyDescent="0.25">
      <c r="C122" s="141" t="s">
        <v>11</v>
      </c>
      <c r="D122" s="257">
        <f>VLOOKUP(C122,'Input keuzevariabelen'!$B:$C,2,FALSE)</f>
        <v>1</v>
      </c>
      <c r="E122" s="137">
        <v>2021</v>
      </c>
      <c r="F122" s="142" t="s">
        <v>13</v>
      </c>
      <c r="G122" s="106" t="str">
        <f>VLOOKUP(H122,'Input keuzevariabelen'!$F:$J,2,FALSE)</f>
        <v>bt</v>
      </c>
      <c r="H122" s="112" t="s">
        <v>38</v>
      </c>
      <c r="I122" s="332">
        <v>171132</v>
      </c>
      <c r="J122" s="288">
        <f t="shared" si="3"/>
        <v>171132</v>
      </c>
      <c r="K122" s="107" t="str">
        <f>VLOOKUP(H122,'Input keuzevariabelen'!$F:$J,3,FALSE)</f>
        <v>km</v>
      </c>
      <c r="L122" s="107">
        <f>SUMIFS('Input keuzevariabelen'!$I:$I,'Input keuzevariabelen'!$F:$F,Data!H122,'Input keuzevariabelen'!$K:$K,Data!E122)</f>
        <v>195</v>
      </c>
      <c r="M122" s="107" t="str">
        <f>VLOOKUP(H122,'Input keuzevariabelen'!$F:$J,5,FALSE)</f>
        <v>gram CO2/km</v>
      </c>
      <c r="N122" s="284">
        <f t="shared" si="4"/>
        <v>33.370739999999998</v>
      </c>
      <c r="O122" s="115" t="s">
        <v>192</v>
      </c>
      <c r="P122" s="115"/>
      <c r="Q122" s="116"/>
      <c r="R122" s="107">
        <f>SUMIFS('Input keuzevariabelen'!$P:$P,'Input keuzevariabelen'!$M:$M,Data!H122)</f>
        <v>0</v>
      </c>
      <c r="S122" s="291">
        <f t="shared" si="5"/>
        <v>0</v>
      </c>
    </row>
    <row r="123" spans="3:19" ht="16.5" thickTop="1" thickBot="1" x14ac:dyDescent="0.25">
      <c r="C123" s="141" t="s">
        <v>11</v>
      </c>
      <c r="D123" s="257">
        <f>VLOOKUP(C123,'Input keuzevariabelen'!$B:$C,2,FALSE)</f>
        <v>1</v>
      </c>
      <c r="E123" s="137">
        <v>2021</v>
      </c>
      <c r="F123" s="142" t="s">
        <v>13</v>
      </c>
      <c r="G123" s="106" t="str">
        <f>VLOOKUP(H123,'Input keuzevariabelen'!$F:$J,2,FALSE)</f>
        <v>bt</v>
      </c>
      <c r="H123" s="112" t="s">
        <v>40</v>
      </c>
      <c r="I123" s="332">
        <v>133645</v>
      </c>
      <c r="J123" s="288">
        <f t="shared" si="3"/>
        <v>133645</v>
      </c>
      <c r="K123" s="107" t="str">
        <f>VLOOKUP(H123,'Input keuzevariabelen'!$F:$J,3,FALSE)</f>
        <v>km</v>
      </c>
      <c r="L123" s="107">
        <f>SUMIFS('Input keuzevariabelen'!$I:$I,'Input keuzevariabelen'!$F:$F,Data!H123,'Input keuzevariabelen'!$K:$K,Data!E123)</f>
        <v>15</v>
      </c>
      <c r="M123" s="107" t="str">
        <f>VLOOKUP(H123,'Input keuzevariabelen'!$F:$J,5,FALSE)</f>
        <v>gram CO2/km</v>
      </c>
      <c r="N123" s="284">
        <f t="shared" si="4"/>
        <v>2.0046750000000002</v>
      </c>
      <c r="O123" s="115" t="s">
        <v>192</v>
      </c>
      <c r="P123" s="115"/>
      <c r="Q123" s="116"/>
      <c r="R123" s="107">
        <f>SUMIFS('Input keuzevariabelen'!$P:$P,'Input keuzevariabelen'!$M:$M,Data!H123)</f>
        <v>0</v>
      </c>
      <c r="S123" s="291">
        <f t="shared" si="5"/>
        <v>0</v>
      </c>
    </row>
    <row r="124" spans="3:19" ht="16.5" thickTop="1" thickBot="1" x14ac:dyDescent="0.25">
      <c r="C124" s="141" t="s">
        <v>11</v>
      </c>
      <c r="D124" s="257">
        <f>VLOOKUP(C124,'Input keuzevariabelen'!$B:$C,2,FALSE)</f>
        <v>1</v>
      </c>
      <c r="E124" s="137">
        <v>2021</v>
      </c>
      <c r="F124" s="142" t="s">
        <v>13</v>
      </c>
      <c r="G124" s="106" t="str">
        <f>VLOOKUP(H124,'Input keuzevariabelen'!$F:$J,2,FALSE)</f>
        <v>bt</v>
      </c>
      <c r="H124" s="112" t="s">
        <v>43</v>
      </c>
      <c r="I124" s="332">
        <v>5006</v>
      </c>
      <c r="J124" s="288">
        <f t="shared" si="3"/>
        <v>5006</v>
      </c>
      <c r="K124" s="107" t="str">
        <f>VLOOKUP(H124,'Input keuzevariabelen'!$F:$J,3,FALSE)</f>
        <v>km</v>
      </c>
      <c r="L124" s="107">
        <f>SUMIFS('Input keuzevariabelen'!$I:$I,'Input keuzevariabelen'!$F:$F,Data!H124,'Input keuzevariabelen'!$K:$K,Data!E124)</f>
        <v>200</v>
      </c>
      <c r="M124" s="107" t="str">
        <f>VLOOKUP(H124,'Input keuzevariabelen'!$F:$J,5,FALSE)</f>
        <v>gram CO2/km</v>
      </c>
      <c r="N124" s="284">
        <f t="shared" si="4"/>
        <v>1.0012000000000001</v>
      </c>
      <c r="O124" s="115" t="s">
        <v>192</v>
      </c>
      <c r="P124" s="115"/>
      <c r="Q124" s="116"/>
      <c r="R124" s="107">
        <f>SUMIFS('Input keuzevariabelen'!$P:$P,'Input keuzevariabelen'!$M:$M,Data!H124)</f>
        <v>0</v>
      </c>
      <c r="S124" s="291">
        <f t="shared" si="5"/>
        <v>0</v>
      </c>
    </row>
    <row r="125" spans="3:19" ht="16.5" thickTop="1" thickBot="1" x14ac:dyDescent="0.25">
      <c r="C125" s="141" t="s">
        <v>193</v>
      </c>
      <c r="D125" s="257">
        <f>VLOOKUP(C125,'Input keuzevariabelen'!$B:$C,2,FALSE)</f>
        <v>0.125</v>
      </c>
      <c r="E125" s="137">
        <v>2021</v>
      </c>
      <c r="F125" s="142" t="s">
        <v>13</v>
      </c>
      <c r="G125" s="106">
        <f>VLOOKUP(H125,'Input keuzevariabelen'!$F:$J,2,FALSE)</f>
        <v>1</v>
      </c>
      <c r="H125" s="112" t="s">
        <v>21</v>
      </c>
      <c r="I125" s="332">
        <f>302328</f>
        <v>302328</v>
      </c>
      <c r="J125" s="288">
        <f t="shared" si="3"/>
        <v>37791</v>
      </c>
      <c r="K125" s="107" t="str">
        <f>VLOOKUP(H125,'Input keuzevariabelen'!$F:$J,3,FALSE)</f>
        <v>m3</v>
      </c>
      <c r="L125" s="107">
        <f>SUMIFS('Input keuzevariabelen'!$I:$I,'Input keuzevariabelen'!$F:$F,Data!H125,'Input keuzevariabelen'!$K:$K,Data!E125)</f>
        <v>1884</v>
      </c>
      <c r="M125" s="107" t="str">
        <f>VLOOKUP(H125,'Input keuzevariabelen'!$F:$J,5,FALSE)</f>
        <v>gram CO2/m3</v>
      </c>
      <c r="N125" s="284">
        <f t="shared" si="4"/>
        <v>71.198244000000003</v>
      </c>
      <c r="O125" s="115" t="s">
        <v>194</v>
      </c>
      <c r="P125" s="115"/>
      <c r="Q125" s="116" t="s">
        <v>122</v>
      </c>
      <c r="R125" s="107">
        <f>SUMIFS('Input keuzevariabelen'!$P:$P,'Input keuzevariabelen'!$M:$M,Data!H125)</f>
        <v>3.1649999999999998E-2</v>
      </c>
      <c r="S125" s="291">
        <f t="shared" si="5"/>
        <v>1196.0851499999999</v>
      </c>
    </row>
    <row r="126" spans="3:19" ht="16.5" thickTop="1" thickBot="1" x14ac:dyDescent="0.25">
      <c r="C126" s="141" t="s">
        <v>193</v>
      </c>
      <c r="D126" s="257">
        <f>VLOOKUP(C126,'Input keuzevariabelen'!$B:$C,2,FALSE)</f>
        <v>0.125</v>
      </c>
      <c r="E126" s="137">
        <v>2021</v>
      </c>
      <c r="F126" s="142" t="s">
        <v>13</v>
      </c>
      <c r="G126" s="106">
        <f>VLOOKUP(H126,'Input keuzevariabelen'!$F:$J,2,FALSE)</f>
        <v>2</v>
      </c>
      <c r="H126" s="112" t="s">
        <v>31</v>
      </c>
      <c r="I126" s="332">
        <f>23000000</f>
        <v>23000000</v>
      </c>
      <c r="J126" s="288">
        <f t="shared" si="3"/>
        <v>2875000</v>
      </c>
      <c r="K126" s="107" t="str">
        <f>VLOOKUP(H126,'Input keuzevariabelen'!$F:$J,3,FALSE)</f>
        <v>kWh</v>
      </c>
      <c r="L126" s="107">
        <f>SUMIFS('Input keuzevariabelen'!$I:$I,'Input keuzevariabelen'!$F:$F,Data!H126,'Input keuzevariabelen'!$K:$K,Data!E126)</f>
        <v>0</v>
      </c>
      <c r="M126" s="107" t="str">
        <f>VLOOKUP(H126,'Input keuzevariabelen'!$F:$J,5,FALSE)</f>
        <v>gram CO2/kWh</v>
      </c>
      <c r="N126" s="284">
        <f t="shared" si="4"/>
        <v>0</v>
      </c>
      <c r="O126" s="115" t="s">
        <v>194</v>
      </c>
      <c r="P126" s="115"/>
      <c r="Q126" s="116" t="s">
        <v>122</v>
      </c>
      <c r="R126" s="107">
        <f>SUMIFS('Input keuzevariabelen'!$P:$P,'Input keuzevariabelen'!$M:$M,Data!H126)</f>
        <v>5.2199999999999998E-3</v>
      </c>
      <c r="S126" s="291">
        <f t="shared" si="5"/>
        <v>15007.5</v>
      </c>
    </row>
    <row r="127" spans="3:19" ht="16.5" thickTop="1" thickBot="1" x14ac:dyDescent="0.25">
      <c r="C127" s="141" t="s">
        <v>123</v>
      </c>
      <c r="D127" s="257">
        <f>VLOOKUP(C127,'Input keuzevariabelen'!$B:$C,2,FALSE)</f>
        <v>0.28599999999999998</v>
      </c>
      <c r="E127" s="137">
        <v>2021</v>
      </c>
      <c r="F127" s="142" t="s">
        <v>13</v>
      </c>
      <c r="G127" s="106">
        <f>VLOOKUP(H127,'Input keuzevariabelen'!$F:$J,2,FALSE)</f>
        <v>1</v>
      </c>
      <c r="H127" s="112" t="s">
        <v>21</v>
      </c>
      <c r="I127" s="332">
        <f>13815</f>
        <v>13815</v>
      </c>
      <c r="J127" s="288">
        <f t="shared" si="3"/>
        <v>3951.0899999999997</v>
      </c>
      <c r="K127" s="107" t="str">
        <f>VLOOKUP(H127,'Input keuzevariabelen'!$F:$J,3,FALSE)</f>
        <v>m3</v>
      </c>
      <c r="L127" s="107">
        <f>SUMIFS('Input keuzevariabelen'!$I:$I,'Input keuzevariabelen'!$F:$F,Data!H127,'Input keuzevariabelen'!$K:$K,Data!E127)</f>
        <v>1884</v>
      </c>
      <c r="M127" s="107" t="str">
        <f>VLOOKUP(H127,'Input keuzevariabelen'!$F:$J,5,FALSE)</f>
        <v>gram CO2/m3</v>
      </c>
      <c r="N127" s="284">
        <f t="shared" si="4"/>
        <v>7.44385356</v>
      </c>
      <c r="O127" s="115" t="s">
        <v>174</v>
      </c>
      <c r="P127" s="115"/>
      <c r="Q127" s="115" t="s">
        <v>123</v>
      </c>
      <c r="R127" s="107">
        <f>SUMIFS('Input keuzevariabelen'!$P:$P,'Input keuzevariabelen'!$M:$M,Data!H127)</f>
        <v>3.1649999999999998E-2</v>
      </c>
      <c r="S127" s="291">
        <f t="shared" si="5"/>
        <v>125.05199849999998</v>
      </c>
    </row>
    <row r="128" spans="3:19" ht="16.5" thickTop="1" thickBot="1" x14ac:dyDescent="0.25">
      <c r="C128" s="141" t="s">
        <v>123</v>
      </c>
      <c r="D128" s="257">
        <f>VLOOKUP(C128,'Input keuzevariabelen'!$B:$C,2,FALSE)</f>
        <v>0.28599999999999998</v>
      </c>
      <c r="E128" s="137">
        <v>2021</v>
      </c>
      <c r="F128" s="142" t="s">
        <v>13</v>
      </c>
      <c r="G128" s="106">
        <f>VLOOKUP(H128,'Input keuzevariabelen'!$F:$J,2,FALSE)</f>
        <v>2</v>
      </c>
      <c r="H128" s="112" t="s">
        <v>29</v>
      </c>
      <c r="I128" s="332">
        <f>253786</f>
        <v>253786</v>
      </c>
      <c r="J128" s="288">
        <f t="shared" si="3"/>
        <v>72582.795999999988</v>
      </c>
      <c r="K128" s="107" t="str">
        <f>VLOOKUP(H128,'Input keuzevariabelen'!$F:$J,3,FALSE)</f>
        <v>kWh</v>
      </c>
      <c r="L128" s="107">
        <f>SUMIFS('Input keuzevariabelen'!$I:$I,'Input keuzevariabelen'!$F:$F,Data!H128,'Input keuzevariabelen'!$K:$K,Data!E128)</f>
        <v>556</v>
      </c>
      <c r="M128" s="107" t="str">
        <f>VLOOKUP(H128,'Input keuzevariabelen'!$F:$J,5,FALSE)</f>
        <v>gram CO2/kWh</v>
      </c>
      <c r="N128" s="284">
        <f t="shared" si="4"/>
        <v>40.356034575999992</v>
      </c>
      <c r="O128" s="115" t="s">
        <v>174</v>
      </c>
      <c r="P128" s="115"/>
      <c r="Q128" s="115" t="s">
        <v>123</v>
      </c>
      <c r="R128" s="107">
        <f>SUMIFS('Input keuzevariabelen'!$P:$P,'Input keuzevariabelen'!$M:$M,Data!H128)</f>
        <v>5.2199999999999998E-3</v>
      </c>
      <c r="S128" s="291">
        <f t="shared" si="5"/>
        <v>378.88219511999995</v>
      </c>
    </row>
    <row r="129" spans="3:19" ht="16.5" thickTop="1" thickBot="1" x14ac:dyDescent="0.25">
      <c r="C129" s="141" t="s">
        <v>124</v>
      </c>
      <c r="D129" s="257">
        <f>VLOOKUP(C129,'Input keuzevariabelen'!$B:$C,2,FALSE)</f>
        <v>0.111</v>
      </c>
      <c r="E129" s="137">
        <v>2021</v>
      </c>
      <c r="F129" s="142" t="s">
        <v>13</v>
      </c>
      <c r="G129" s="106">
        <f>VLOOKUP(H129,'Input keuzevariabelen'!$F:$J,2,FALSE)</f>
        <v>1</v>
      </c>
      <c r="H129" s="112" t="s">
        <v>21</v>
      </c>
      <c r="I129" s="332">
        <f>161170</f>
        <v>161170</v>
      </c>
      <c r="J129" s="288">
        <f t="shared" si="3"/>
        <v>17889.87</v>
      </c>
      <c r="K129" s="107" t="str">
        <f>VLOOKUP(H129,'Input keuzevariabelen'!$F:$J,3,FALSE)</f>
        <v>m3</v>
      </c>
      <c r="L129" s="107">
        <f>SUMIFS('Input keuzevariabelen'!$I:$I,'Input keuzevariabelen'!$F:$F,Data!H129,'Input keuzevariabelen'!$K:$K,Data!E129)</f>
        <v>1884</v>
      </c>
      <c r="M129" s="107" t="str">
        <f>VLOOKUP(H129,'Input keuzevariabelen'!$F:$J,5,FALSE)</f>
        <v>gram CO2/m3</v>
      </c>
      <c r="N129" s="284">
        <f t="shared" si="4"/>
        <v>33.70451508</v>
      </c>
      <c r="O129" s="115" t="s">
        <v>175</v>
      </c>
      <c r="P129" s="115"/>
      <c r="Q129" s="115" t="s">
        <v>124</v>
      </c>
      <c r="R129" s="107">
        <f>SUMIFS('Input keuzevariabelen'!$P:$P,'Input keuzevariabelen'!$M:$M,Data!H129)</f>
        <v>3.1649999999999998E-2</v>
      </c>
      <c r="S129" s="291">
        <f t="shared" si="5"/>
        <v>566.21438549999993</v>
      </c>
    </row>
    <row r="130" spans="3:19" ht="16.5" thickTop="1" thickBot="1" x14ac:dyDescent="0.25">
      <c r="C130" s="141" t="s">
        <v>124</v>
      </c>
      <c r="D130" s="257">
        <f>VLOOKUP(C130,'Input keuzevariabelen'!$B:$C,2,FALSE)</f>
        <v>0.111</v>
      </c>
      <c r="E130" s="137">
        <v>2021</v>
      </c>
      <c r="F130" s="142" t="s">
        <v>13</v>
      </c>
      <c r="G130" s="106">
        <f>VLOOKUP(H130,'Input keuzevariabelen'!$F:$J,2,FALSE)</f>
        <v>2</v>
      </c>
      <c r="H130" s="112" t="s">
        <v>31</v>
      </c>
      <c r="I130" s="332">
        <f>1289892</f>
        <v>1289892</v>
      </c>
      <c r="J130" s="288">
        <f t="shared" si="3"/>
        <v>143178.01199999999</v>
      </c>
      <c r="K130" s="107" t="str">
        <f>VLOOKUP(H130,'Input keuzevariabelen'!$F:$J,3,FALSE)</f>
        <v>kWh</v>
      </c>
      <c r="L130" s="107">
        <f>SUMIFS('Input keuzevariabelen'!$I:$I,'Input keuzevariabelen'!$F:$F,Data!H130,'Input keuzevariabelen'!$K:$K,Data!E130)</f>
        <v>0</v>
      </c>
      <c r="M130" s="107" t="str">
        <f>VLOOKUP(H130,'Input keuzevariabelen'!$F:$J,5,FALSE)</f>
        <v>gram CO2/kWh</v>
      </c>
      <c r="N130" s="284">
        <f t="shared" si="4"/>
        <v>0</v>
      </c>
      <c r="O130" s="115" t="s">
        <v>175</v>
      </c>
      <c r="P130" s="115"/>
      <c r="Q130" s="115" t="s">
        <v>124</v>
      </c>
      <c r="R130" s="107">
        <f>SUMIFS('Input keuzevariabelen'!$P:$P,'Input keuzevariabelen'!$M:$M,Data!H130)</f>
        <v>5.2199999999999998E-3</v>
      </c>
      <c r="S130" s="291">
        <f t="shared" si="5"/>
        <v>747.38922263999996</v>
      </c>
    </row>
    <row r="131" spans="3:19" ht="16.5" thickTop="1" thickBot="1" x14ac:dyDescent="0.25">
      <c r="C131" s="141" t="s">
        <v>124</v>
      </c>
      <c r="D131" s="257">
        <f>VLOOKUP(C131,'Input keuzevariabelen'!$B:$C,2,FALSE)</f>
        <v>0.111</v>
      </c>
      <c r="E131" s="137">
        <v>2021</v>
      </c>
      <c r="F131" s="142" t="s">
        <v>13</v>
      </c>
      <c r="G131" s="106">
        <f>VLOOKUP(H131,'Input keuzevariabelen'!$F:$J,2,FALSE)</f>
        <v>2</v>
      </c>
      <c r="H131" s="112" t="s">
        <v>32</v>
      </c>
      <c r="I131" s="332">
        <f>7291</f>
        <v>7291</v>
      </c>
      <c r="J131" s="288">
        <f t="shared" si="3"/>
        <v>809.30100000000004</v>
      </c>
      <c r="K131" s="107" t="str">
        <f>VLOOKUP(H131,'Input keuzevariabelen'!$F:$J,3,FALSE)</f>
        <v>kWh</v>
      </c>
      <c r="L131" s="107">
        <f>SUMIFS('Input keuzevariabelen'!$I:$I,'Input keuzevariabelen'!$F:$F,Data!H131,'Input keuzevariabelen'!$K:$K,Data!E131)</f>
        <v>556</v>
      </c>
      <c r="M131" s="107" t="str">
        <f>VLOOKUP(H131,'Input keuzevariabelen'!$F:$J,5,FALSE)</f>
        <v>gram CO2/kWh</v>
      </c>
      <c r="N131" s="284">
        <f t="shared" si="4"/>
        <v>0.44997135600000004</v>
      </c>
      <c r="O131" s="115" t="s">
        <v>175</v>
      </c>
      <c r="P131" s="115"/>
      <c r="Q131" s="115" t="s">
        <v>124</v>
      </c>
      <c r="R131" s="107">
        <f>SUMIFS('Input keuzevariabelen'!$P:$P,'Input keuzevariabelen'!$M:$M,Data!H131)</f>
        <v>5.2199999999999998E-3</v>
      </c>
      <c r="S131" s="291">
        <f t="shared" si="5"/>
        <v>4.2245512200000004</v>
      </c>
    </row>
    <row r="132" spans="3:19" ht="16.5" thickTop="1" thickBot="1" x14ac:dyDescent="0.25">
      <c r="C132" s="141" t="s">
        <v>124</v>
      </c>
      <c r="D132" s="257">
        <f>VLOOKUP(C132,'Input keuzevariabelen'!$B:$C,2,FALSE)</f>
        <v>0.111</v>
      </c>
      <c r="E132" s="137">
        <v>2021</v>
      </c>
      <c r="F132" s="142" t="s">
        <v>13</v>
      </c>
      <c r="G132" s="106">
        <f>VLOOKUP(H132,'Input keuzevariabelen'!$F:$J,2,FALSE)</f>
        <v>1</v>
      </c>
      <c r="H132" s="112" t="s">
        <v>23</v>
      </c>
      <c r="I132" s="332">
        <f>116124</f>
        <v>116124</v>
      </c>
      <c r="J132" s="288">
        <f t="shared" si="3"/>
        <v>12889.764000000001</v>
      </c>
      <c r="K132" s="107" t="str">
        <f>VLOOKUP(H132,'Input keuzevariabelen'!$F:$J,3,FALSE)</f>
        <v>liter</v>
      </c>
      <c r="L132" s="107">
        <f>SUMIFS('Input keuzevariabelen'!$I:$I,'Input keuzevariabelen'!$F:$F,Data!H132,'Input keuzevariabelen'!$K:$K,Data!E132)</f>
        <v>3262</v>
      </c>
      <c r="M132" s="107" t="str">
        <f>VLOOKUP(H132,'Input keuzevariabelen'!$F:$J,5,FALSE)</f>
        <v>gram CO2/liter</v>
      </c>
      <c r="N132" s="284">
        <f t="shared" si="4"/>
        <v>42.046410168000008</v>
      </c>
      <c r="O132" s="115" t="s">
        <v>176</v>
      </c>
      <c r="P132" s="115"/>
      <c r="Q132" s="115" t="s">
        <v>124</v>
      </c>
      <c r="R132" s="107">
        <f>SUMIFS('Input keuzevariabelen'!$P:$P,'Input keuzevariabelen'!$M:$M,Data!H132)</f>
        <v>3.6299999999999999E-2</v>
      </c>
      <c r="S132" s="291">
        <f t="shared" si="5"/>
        <v>467.8984332</v>
      </c>
    </row>
    <row r="133" spans="3:19" ht="16.5" thickTop="1" thickBot="1" x14ac:dyDescent="0.25">
      <c r="C133" s="141" t="s">
        <v>124</v>
      </c>
      <c r="D133" s="257">
        <f>VLOOKUP(C133,'Input keuzevariabelen'!$B:$C,2,FALSE)</f>
        <v>0.111</v>
      </c>
      <c r="E133" s="137">
        <v>2021</v>
      </c>
      <c r="F133" s="142" t="s">
        <v>13</v>
      </c>
      <c r="G133" s="106">
        <f>VLOOKUP(H133,'Input keuzevariabelen'!$F:$J,2,FALSE)</f>
        <v>1</v>
      </c>
      <c r="H133" s="112" t="s">
        <v>25</v>
      </c>
      <c r="I133" s="332">
        <f>2423</f>
        <v>2423</v>
      </c>
      <c r="J133" s="288">
        <f t="shared" si="3"/>
        <v>268.95300000000003</v>
      </c>
      <c r="K133" s="107" t="str">
        <f>VLOOKUP(H133,'Input keuzevariabelen'!$F:$J,3,FALSE)</f>
        <v>liter</v>
      </c>
      <c r="L133" s="107">
        <f>SUMIFS('Input keuzevariabelen'!$I:$I,'Input keuzevariabelen'!$F:$F,Data!H133,'Input keuzevariabelen'!$K:$K,Data!E133)</f>
        <v>2784</v>
      </c>
      <c r="M133" s="107" t="str">
        <f>VLOOKUP(H133,'Input keuzevariabelen'!$F:$J,5,FALSE)</f>
        <v>gram CO2/liter</v>
      </c>
      <c r="N133" s="284">
        <f t="shared" si="4"/>
        <v>0.74876515200000016</v>
      </c>
      <c r="O133" s="115" t="s">
        <v>176</v>
      </c>
      <c r="P133" s="115"/>
      <c r="Q133" s="115" t="s">
        <v>124</v>
      </c>
      <c r="R133" s="107">
        <f>SUMIFS('Input keuzevariabelen'!$P:$P,'Input keuzevariabelen'!$M:$M,Data!H133)</f>
        <v>3.1E-2</v>
      </c>
      <c r="S133" s="291">
        <f t="shared" si="5"/>
        <v>8.3375430000000001</v>
      </c>
    </row>
    <row r="134" spans="3:19" ht="16.5" thickTop="1" thickBot="1" x14ac:dyDescent="0.25">
      <c r="C134" s="141" t="s">
        <v>124</v>
      </c>
      <c r="D134" s="257">
        <f>VLOOKUP(C134,'Input keuzevariabelen'!$B:$C,2,FALSE)</f>
        <v>0.111</v>
      </c>
      <c r="E134" s="137">
        <v>2021</v>
      </c>
      <c r="F134" s="142" t="s">
        <v>13</v>
      </c>
      <c r="G134" s="106" t="str">
        <f>VLOOKUP(H134,'Input keuzevariabelen'!$F:$J,2,FALSE)</f>
        <v>bt</v>
      </c>
      <c r="H134" s="112" t="s">
        <v>38</v>
      </c>
      <c r="I134" s="332">
        <f>(31364/0.19)</f>
        <v>165073.68421052632</v>
      </c>
      <c r="J134" s="288">
        <f t="shared" si="3"/>
        <v>18323.178947368422</v>
      </c>
      <c r="K134" s="107" t="str">
        <f>VLOOKUP(H134,'Input keuzevariabelen'!$F:$J,3,FALSE)</f>
        <v>km</v>
      </c>
      <c r="L134" s="107">
        <f>SUMIFS('Input keuzevariabelen'!$I:$I,'Input keuzevariabelen'!$F:$F,Data!H134,'Input keuzevariabelen'!$K:$K,Data!E134)</f>
        <v>195</v>
      </c>
      <c r="M134" s="107" t="str">
        <f>VLOOKUP(H134,'Input keuzevariabelen'!$F:$J,5,FALSE)</f>
        <v>gram CO2/km</v>
      </c>
      <c r="N134" s="284">
        <f t="shared" si="4"/>
        <v>3.5730198947368423</v>
      </c>
      <c r="O134" s="115" t="s">
        <v>175</v>
      </c>
      <c r="P134" s="115"/>
      <c r="Q134" s="115" t="s">
        <v>124</v>
      </c>
      <c r="R134" s="107">
        <f>SUMIFS('Input keuzevariabelen'!$P:$P,'Input keuzevariabelen'!$M:$M,Data!H134)</f>
        <v>0</v>
      </c>
      <c r="S134" s="291">
        <f t="shared" si="5"/>
        <v>0</v>
      </c>
    </row>
    <row r="135" spans="3:19" ht="16.5" thickTop="1" thickBot="1" x14ac:dyDescent="0.25">
      <c r="C135" s="141" t="s">
        <v>124</v>
      </c>
      <c r="D135" s="257">
        <f>VLOOKUP(C135,'Input keuzevariabelen'!$B:$C,2,FALSE)</f>
        <v>0.111</v>
      </c>
      <c r="E135" s="137">
        <v>2021</v>
      </c>
      <c r="F135" s="142" t="s">
        <v>13</v>
      </c>
      <c r="G135" s="106" t="str">
        <f>VLOOKUP(H135,'Input keuzevariabelen'!$F:$J,2,FALSE)</f>
        <v>bt</v>
      </c>
      <c r="H135" s="112" t="s">
        <v>40</v>
      </c>
      <c r="I135" s="332">
        <f>(1759/0.15)</f>
        <v>11726.666666666668</v>
      </c>
      <c r="J135" s="288">
        <f t="shared" si="3"/>
        <v>1301.6600000000001</v>
      </c>
      <c r="K135" s="107" t="str">
        <f>VLOOKUP(H135,'Input keuzevariabelen'!$F:$J,3,FALSE)</f>
        <v>km</v>
      </c>
      <c r="L135" s="107">
        <f>SUMIFS('Input keuzevariabelen'!$I:$I,'Input keuzevariabelen'!$F:$F,Data!H135,'Input keuzevariabelen'!$K:$K,Data!E135)</f>
        <v>15</v>
      </c>
      <c r="M135" s="107" t="str">
        <f>VLOOKUP(H135,'Input keuzevariabelen'!$F:$J,5,FALSE)</f>
        <v>gram CO2/km</v>
      </c>
      <c r="N135" s="284">
        <f t="shared" si="4"/>
        <v>1.9524900000000001E-2</v>
      </c>
      <c r="O135" s="115" t="s">
        <v>175</v>
      </c>
      <c r="P135" s="115"/>
      <c r="Q135" s="115" t="s">
        <v>124</v>
      </c>
      <c r="R135" s="107">
        <f>SUMIFS('Input keuzevariabelen'!$P:$P,'Input keuzevariabelen'!$M:$M,Data!H135)</f>
        <v>0</v>
      </c>
      <c r="S135" s="291">
        <f t="shared" si="5"/>
        <v>0</v>
      </c>
    </row>
    <row r="136" spans="3:19" ht="16.5" thickTop="1" thickBot="1" x14ac:dyDescent="0.25">
      <c r="C136" s="141"/>
      <c r="D136" s="257" t="e">
        <f>VLOOKUP(C136,'Input keuzevariabelen'!$B:$C,2,FALSE)</f>
        <v>#N/A</v>
      </c>
      <c r="E136" s="137"/>
      <c r="F136" s="142"/>
      <c r="G136" s="106" t="e">
        <f>VLOOKUP(H136,'Input keuzevariabelen'!$F:$J,2,FALSE)</f>
        <v>#N/A</v>
      </c>
      <c r="H136" s="112"/>
      <c r="I136" s="332"/>
      <c r="J136" s="288" t="e">
        <f t="shared" ref="J136:J194" si="6">I136*D136</f>
        <v>#N/A</v>
      </c>
      <c r="K136" s="107" t="e">
        <f>VLOOKUP(H136,'Input keuzevariabelen'!$F:$J,3,FALSE)</f>
        <v>#N/A</v>
      </c>
      <c r="L136" s="107">
        <f>SUMIFS('Input keuzevariabelen'!$I:$I,'Input keuzevariabelen'!$F:$F,Data!H136,'Input keuzevariabelen'!$K:$K,Data!E136)</f>
        <v>0</v>
      </c>
      <c r="M136" s="107" t="e">
        <f>VLOOKUP(H136,'Input keuzevariabelen'!$F:$J,5,FALSE)</f>
        <v>#N/A</v>
      </c>
      <c r="N136" s="284" t="e">
        <f t="shared" ref="N136:N194" si="7">J136*L136/1000000</f>
        <v>#N/A</v>
      </c>
      <c r="O136" s="115"/>
      <c r="P136" s="115"/>
      <c r="Q136" s="116"/>
      <c r="R136" s="107">
        <f>SUMIFS('Input keuzevariabelen'!$P:$P,'Input keuzevariabelen'!$M:$M,Data!H136)</f>
        <v>0</v>
      </c>
      <c r="S136" s="291" t="e">
        <f t="shared" ref="S136:S194" si="8">J136*R136</f>
        <v>#N/A</v>
      </c>
    </row>
    <row r="137" spans="3:19" ht="16.5" thickTop="1" thickBot="1" x14ac:dyDescent="0.25">
      <c r="C137" s="141" t="s">
        <v>11</v>
      </c>
      <c r="D137" s="257">
        <f>VLOOKUP(C137,'Input keuzevariabelen'!$B:$C,2,FALSE)</f>
        <v>1</v>
      </c>
      <c r="E137" s="137">
        <v>2022</v>
      </c>
      <c r="F137" s="142" t="s">
        <v>13</v>
      </c>
      <c r="G137" s="106" t="str">
        <f>VLOOKUP(H137,'Input keuzevariabelen'!$F:$J,2,FALSE)</f>
        <v>KPI</v>
      </c>
      <c r="H137" s="112" t="s">
        <v>154</v>
      </c>
      <c r="I137" s="332">
        <f>130853378/1000</f>
        <v>130853.378</v>
      </c>
      <c r="J137" s="288">
        <f t="shared" si="6"/>
        <v>130853.378</v>
      </c>
      <c r="K137" s="107">
        <f>VLOOKUP(H137,'Input keuzevariabelen'!$F:$J,3,FALSE)</f>
        <v>0</v>
      </c>
      <c r="L137" s="107">
        <f>SUMIFS('Input keuzevariabelen'!$I:$I,'Input keuzevariabelen'!$F:$F,Data!H137,'Input keuzevariabelen'!$K:$K,Data!E137)</f>
        <v>0</v>
      </c>
      <c r="M137" s="107">
        <f>VLOOKUP(H137,'Input keuzevariabelen'!$F:$J,5,FALSE)</f>
        <v>0</v>
      </c>
      <c r="N137" s="284">
        <f t="shared" si="7"/>
        <v>0</v>
      </c>
      <c r="O137" s="115"/>
      <c r="P137" s="115"/>
      <c r="Q137" s="116"/>
      <c r="R137" s="107">
        <f>SUMIFS('Input keuzevariabelen'!$P:$P,'Input keuzevariabelen'!$M:$M,Data!H137)</f>
        <v>0</v>
      </c>
      <c r="S137" s="291">
        <f t="shared" si="8"/>
        <v>0</v>
      </c>
    </row>
    <row r="138" spans="3:19" ht="16.5" thickTop="1" thickBot="1" x14ac:dyDescent="0.25">
      <c r="C138" s="141" t="s">
        <v>11</v>
      </c>
      <c r="D138" s="257">
        <f>VLOOKUP(C138,'Input keuzevariabelen'!$B:$C,2,FALSE)</f>
        <v>1</v>
      </c>
      <c r="E138" s="137">
        <v>2022</v>
      </c>
      <c r="F138" s="142" t="s">
        <v>13</v>
      </c>
      <c r="G138" s="106">
        <f>VLOOKUP(H138,'Input keuzevariabelen'!$F:$J,2,FALSE)</f>
        <v>2</v>
      </c>
      <c r="H138" s="112" t="s">
        <v>31</v>
      </c>
      <c r="I138" s="332">
        <v>5683008</v>
      </c>
      <c r="J138" s="288">
        <f t="shared" si="6"/>
        <v>5683008</v>
      </c>
      <c r="K138" s="107" t="str">
        <f>VLOOKUP(H138,'Input keuzevariabelen'!$F:$J,3,FALSE)</f>
        <v>kWh</v>
      </c>
      <c r="L138" s="107">
        <f>SUMIFS('Input keuzevariabelen'!$I:$I,'Input keuzevariabelen'!$F:$F,Data!H138,'Input keuzevariabelen'!$K:$K,Data!E138)</f>
        <v>0</v>
      </c>
      <c r="M138" s="107" t="str">
        <f>VLOOKUP(H138,'Input keuzevariabelen'!$F:$J,5,FALSE)</f>
        <v>gram CO2/kWh</v>
      </c>
      <c r="N138" s="284">
        <f t="shared" si="7"/>
        <v>0</v>
      </c>
      <c r="O138" s="115" t="s">
        <v>195</v>
      </c>
      <c r="P138" s="115"/>
      <c r="Q138" s="116" t="s">
        <v>120</v>
      </c>
      <c r="R138" s="107">
        <f>SUMIFS('Input keuzevariabelen'!$P:$P,'Input keuzevariabelen'!$M:$M,Data!H138)</f>
        <v>5.2199999999999998E-3</v>
      </c>
      <c r="S138" s="291">
        <f t="shared" si="8"/>
        <v>29665.301759999998</v>
      </c>
    </row>
    <row r="139" spans="3:19" ht="16.5" thickTop="1" thickBot="1" x14ac:dyDescent="0.25">
      <c r="C139" s="141" t="s">
        <v>11</v>
      </c>
      <c r="D139" s="257">
        <f>VLOOKUP(C139,'Input keuzevariabelen'!$B:$C,2,FALSE)</f>
        <v>1</v>
      </c>
      <c r="E139" s="137">
        <v>2022</v>
      </c>
      <c r="F139" s="142" t="s">
        <v>13</v>
      </c>
      <c r="G139" s="106">
        <f>VLOOKUP(H139,'Input keuzevariabelen'!$F:$J,2,FALSE)</f>
        <v>2</v>
      </c>
      <c r="H139" s="112" t="s">
        <v>31</v>
      </c>
      <c r="I139" s="332">
        <v>423705</v>
      </c>
      <c r="J139" s="288">
        <f t="shared" si="6"/>
        <v>423705</v>
      </c>
      <c r="K139" s="107" t="str">
        <f>VLOOKUP(H139,'Input keuzevariabelen'!$F:$J,3,FALSE)</f>
        <v>kWh</v>
      </c>
      <c r="L139" s="107">
        <f>SUMIFS('Input keuzevariabelen'!$I:$I,'Input keuzevariabelen'!$F:$F,Data!H139,'Input keuzevariabelen'!$K:$K,Data!E139)</f>
        <v>0</v>
      </c>
      <c r="M139" s="107" t="str">
        <f>VLOOKUP(H139,'Input keuzevariabelen'!$F:$J,5,FALSE)</f>
        <v>gram CO2/kWh</v>
      </c>
      <c r="N139" s="284">
        <f t="shared" si="7"/>
        <v>0</v>
      </c>
      <c r="O139" s="115" t="s">
        <v>195</v>
      </c>
      <c r="P139" s="115"/>
      <c r="Q139" s="116" t="s">
        <v>121</v>
      </c>
      <c r="R139" s="107">
        <f>SUMIFS('Input keuzevariabelen'!$P:$P,'Input keuzevariabelen'!$M:$M,Data!H139)</f>
        <v>5.2199999999999998E-3</v>
      </c>
      <c r="S139" s="291">
        <f t="shared" si="8"/>
        <v>2211.7401</v>
      </c>
    </row>
    <row r="140" spans="3:19" ht="16.5" thickTop="1" thickBot="1" x14ac:dyDescent="0.25">
      <c r="C140" s="141" t="s">
        <v>11</v>
      </c>
      <c r="D140" s="257">
        <f>VLOOKUP(C140,'Input keuzevariabelen'!$B:$C,2,FALSE)</f>
        <v>1</v>
      </c>
      <c r="E140" s="137">
        <v>2022</v>
      </c>
      <c r="F140" s="142" t="s">
        <v>13</v>
      </c>
      <c r="G140" s="106">
        <f>VLOOKUP(H140,'Input keuzevariabelen'!$F:$J,2,FALSE)</f>
        <v>2</v>
      </c>
      <c r="H140" s="112" t="s">
        <v>31</v>
      </c>
      <c r="I140" s="332">
        <v>2891445</v>
      </c>
      <c r="J140" s="288">
        <f t="shared" si="6"/>
        <v>2891445</v>
      </c>
      <c r="K140" s="107" t="str">
        <f>VLOOKUP(H140,'Input keuzevariabelen'!$F:$J,3,FALSE)</f>
        <v>kWh</v>
      </c>
      <c r="L140" s="107">
        <f>SUMIFS('Input keuzevariabelen'!$I:$I,'Input keuzevariabelen'!$F:$F,Data!H140,'Input keuzevariabelen'!$K:$K,Data!E140)</f>
        <v>0</v>
      </c>
      <c r="M140" s="107" t="str">
        <f>VLOOKUP(H140,'Input keuzevariabelen'!$F:$J,5,FALSE)</f>
        <v>gram CO2/kWh</v>
      </c>
      <c r="N140" s="284">
        <f t="shared" si="7"/>
        <v>0</v>
      </c>
      <c r="O140" s="115" t="s">
        <v>195</v>
      </c>
      <c r="P140" s="115"/>
      <c r="Q140" s="116" t="s">
        <v>116</v>
      </c>
      <c r="R140" s="107">
        <f>SUMIFS('Input keuzevariabelen'!$P:$P,'Input keuzevariabelen'!$M:$M,Data!H140)</f>
        <v>5.2199999999999998E-3</v>
      </c>
      <c r="S140" s="291">
        <f t="shared" si="8"/>
        <v>15093.3429</v>
      </c>
    </row>
    <row r="141" spans="3:19" ht="16.5" thickTop="1" thickBot="1" x14ac:dyDescent="0.25">
      <c r="C141" s="141" t="s">
        <v>11</v>
      </c>
      <c r="D141" s="257">
        <f>VLOOKUP(C141,'Input keuzevariabelen'!$B:$C,2,FALSE)</f>
        <v>1</v>
      </c>
      <c r="E141" s="137">
        <v>2022</v>
      </c>
      <c r="F141" s="142" t="s">
        <v>13</v>
      </c>
      <c r="G141" s="106">
        <f>VLOOKUP(H141,'Input keuzevariabelen'!$F:$J,2,FALSE)</f>
        <v>2</v>
      </c>
      <c r="H141" s="112" t="s">
        <v>31</v>
      </c>
      <c r="I141" s="332">
        <v>16675596</v>
      </c>
      <c r="J141" s="288">
        <f t="shared" si="6"/>
        <v>16675596</v>
      </c>
      <c r="K141" s="107" t="str">
        <f>VLOOKUP(H141,'Input keuzevariabelen'!$F:$J,3,FALSE)</f>
        <v>kWh</v>
      </c>
      <c r="L141" s="107">
        <f>SUMIFS('Input keuzevariabelen'!$I:$I,'Input keuzevariabelen'!$F:$F,Data!H141,'Input keuzevariabelen'!$K:$K,Data!E141)</f>
        <v>0</v>
      </c>
      <c r="M141" s="107" t="str">
        <f>VLOOKUP(H141,'Input keuzevariabelen'!$F:$J,5,FALSE)</f>
        <v>gram CO2/kWh</v>
      </c>
      <c r="N141" s="284">
        <f t="shared" si="7"/>
        <v>0</v>
      </c>
      <c r="O141" s="115" t="s">
        <v>195</v>
      </c>
      <c r="P141" s="115"/>
      <c r="Q141" s="116" t="s">
        <v>117</v>
      </c>
      <c r="R141" s="107">
        <f>SUMIFS('Input keuzevariabelen'!$P:$P,'Input keuzevariabelen'!$M:$M,Data!H141)</f>
        <v>5.2199999999999998E-3</v>
      </c>
      <c r="S141" s="291">
        <f t="shared" si="8"/>
        <v>87046.611120000001</v>
      </c>
    </row>
    <row r="142" spans="3:19" ht="16.5" thickTop="1" thickBot="1" x14ac:dyDescent="0.25">
      <c r="C142" s="141" t="s">
        <v>11</v>
      </c>
      <c r="D142" s="257">
        <f>VLOOKUP(C142,'Input keuzevariabelen'!$B:$C,2,FALSE)</f>
        <v>1</v>
      </c>
      <c r="E142" s="137">
        <v>2022</v>
      </c>
      <c r="F142" s="142" t="s">
        <v>13</v>
      </c>
      <c r="G142" s="106">
        <f>VLOOKUP(H142,'Input keuzevariabelen'!$F:$J,2,FALSE)</f>
        <v>2</v>
      </c>
      <c r="H142" s="112" t="s">
        <v>31</v>
      </c>
      <c r="I142" s="332">
        <v>8796775</v>
      </c>
      <c r="J142" s="288">
        <f t="shared" si="6"/>
        <v>8796775</v>
      </c>
      <c r="K142" s="107" t="str">
        <f>VLOOKUP(H142,'Input keuzevariabelen'!$F:$J,3,FALSE)</f>
        <v>kWh</v>
      </c>
      <c r="L142" s="107">
        <f>SUMIFS('Input keuzevariabelen'!$I:$I,'Input keuzevariabelen'!$F:$F,Data!H142,'Input keuzevariabelen'!$K:$K,Data!E142)</f>
        <v>0</v>
      </c>
      <c r="M142" s="107" t="str">
        <f>VLOOKUP(H142,'Input keuzevariabelen'!$F:$J,5,FALSE)</f>
        <v>gram CO2/kWh</v>
      </c>
      <c r="N142" s="284">
        <f t="shared" si="7"/>
        <v>0</v>
      </c>
      <c r="O142" s="115" t="s">
        <v>195</v>
      </c>
      <c r="P142" s="115"/>
      <c r="Q142" s="116" t="s">
        <v>118</v>
      </c>
      <c r="R142" s="107">
        <f>SUMIFS('Input keuzevariabelen'!$P:$P,'Input keuzevariabelen'!$M:$M,Data!H142)</f>
        <v>5.2199999999999998E-3</v>
      </c>
      <c r="S142" s="291">
        <f t="shared" si="8"/>
        <v>45919.165499999996</v>
      </c>
    </row>
    <row r="143" spans="3:19" ht="16.5" thickTop="1" thickBot="1" x14ac:dyDescent="0.25">
      <c r="C143" s="141" t="s">
        <v>11</v>
      </c>
      <c r="D143" s="257">
        <f>VLOOKUP(C143,'Input keuzevariabelen'!$B:$C,2,FALSE)</f>
        <v>1</v>
      </c>
      <c r="E143" s="137">
        <v>2022</v>
      </c>
      <c r="F143" s="142" t="s">
        <v>13</v>
      </c>
      <c r="G143" s="106">
        <f>VLOOKUP(H143,'Input keuzevariabelen'!$F:$J,2,FALSE)</f>
        <v>2</v>
      </c>
      <c r="H143" s="112" t="s">
        <v>31</v>
      </c>
      <c r="I143" s="332">
        <v>36623320</v>
      </c>
      <c r="J143" s="288">
        <f t="shared" si="6"/>
        <v>36623320</v>
      </c>
      <c r="K143" s="107" t="str">
        <f>VLOOKUP(H143,'Input keuzevariabelen'!$F:$J,3,FALSE)</f>
        <v>kWh</v>
      </c>
      <c r="L143" s="107">
        <f>SUMIFS('Input keuzevariabelen'!$I:$I,'Input keuzevariabelen'!$F:$F,Data!H143,'Input keuzevariabelen'!$K:$K,Data!E143)</f>
        <v>0</v>
      </c>
      <c r="M143" s="107" t="str">
        <f>VLOOKUP(H143,'Input keuzevariabelen'!$F:$J,5,FALSE)</f>
        <v>gram CO2/kWh</v>
      </c>
      <c r="N143" s="284">
        <f t="shared" si="7"/>
        <v>0</v>
      </c>
      <c r="O143" s="115" t="s">
        <v>195</v>
      </c>
      <c r="P143" s="115"/>
      <c r="Q143" s="116" t="s">
        <v>119</v>
      </c>
      <c r="R143" s="107">
        <f>SUMIFS('Input keuzevariabelen'!$P:$P,'Input keuzevariabelen'!$M:$M,Data!H143)</f>
        <v>5.2199999999999998E-3</v>
      </c>
      <c r="S143" s="291">
        <f t="shared" si="8"/>
        <v>191173.7304</v>
      </c>
    </row>
    <row r="144" spans="3:19" ht="16.5" thickTop="1" thickBot="1" x14ac:dyDescent="0.25">
      <c r="C144" s="141" t="s">
        <v>11</v>
      </c>
      <c r="D144" s="257">
        <f>VLOOKUP(C144,'Input keuzevariabelen'!$B:$C,2,FALSE)</f>
        <v>1</v>
      </c>
      <c r="E144" s="137">
        <v>2022</v>
      </c>
      <c r="F144" s="142" t="s">
        <v>13</v>
      </c>
      <c r="G144" s="106">
        <f>VLOOKUP(H144,'Input keuzevariabelen'!$F:$J,2,FALSE)</f>
        <v>2</v>
      </c>
      <c r="H144" s="112" t="s">
        <v>31</v>
      </c>
      <c r="I144" s="332">
        <f>29598-7451</f>
        <v>22147</v>
      </c>
      <c r="J144" s="288">
        <f t="shared" si="6"/>
        <v>22147</v>
      </c>
      <c r="K144" s="107" t="str">
        <f>VLOOKUP(H144,'Input keuzevariabelen'!$F:$J,3,FALSE)</f>
        <v>kWh</v>
      </c>
      <c r="L144" s="107">
        <f>SUMIFS('Input keuzevariabelen'!$I:$I,'Input keuzevariabelen'!$F:$F,Data!H144,'Input keuzevariabelen'!$K:$K,Data!E144)</f>
        <v>0</v>
      </c>
      <c r="M144" s="107" t="str">
        <f>VLOOKUP(H144,'Input keuzevariabelen'!$F:$J,5,FALSE)</f>
        <v>gram CO2/kWh</v>
      </c>
      <c r="N144" s="284">
        <f t="shared" si="7"/>
        <v>0</v>
      </c>
      <c r="O144" s="115" t="s">
        <v>195</v>
      </c>
      <c r="P144" s="115"/>
      <c r="Q144" s="116" t="s">
        <v>119</v>
      </c>
      <c r="R144" s="107">
        <f>SUMIFS('Input keuzevariabelen'!$P:$P,'Input keuzevariabelen'!$M:$M,Data!H144)</f>
        <v>5.2199999999999998E-3</v>
      </c>
      <c r="S144" s="291">
        <f t="shared" si="8"/>
        <v>115.60733999999999</v>
      </c>
    </row>
    <row r="145" spans="3:19" ht="16.5" thickTop="1" thickBot="1" x14ac:dyDescent="0.25">
      <c r="C145" s="141" t="s">
        <v>11</v>
      </c>
      <c r="D145" s="257">
        <f>VLOOKUP(C145,'Input keuzevariabelen'!$B:$C,2,FALSE)</f>
        <v>1</v>
      </c>
      <c r="E145" s="137">
        <v>2022</v>
      </c>
      <c r="F145" s="142" t="s">
        <v>13</v>
      </c>
      <c r="G145" s="106">
        <f>VLOOKUP(H145,'Input keuzevariabelen'!$F:$J,2,FALSE)</f>
        <v>1</v>
      </c>
      <c r="H145" s="112" t="s">
        <v>21</v>
      </c>
      <c r="I145" s="332">
        <v>7183</v>
      </c>
      <c r="J145" s="288">
        <f t="shared" si="6"/>
        <v>7183</v>
      </c>
      <c r="K145" s="107" t="str">
        <f>VLOOKUP(H145,'Input keuzevariabelen'!$F:$J,3,FALSE)</f>
        <v>m3</v>
      </c>
      <c r="L145" s="107">
        <f>SUMIFS('Input keuzevariabelen'!$I:$I,'Input keuzevariabelen'!$F:$F,Data!H145,'Input keuzevariabelen'!$K:$K,Data!E145)</f>
        <v>2085</v>
      </c>
      <c r="M145" s="107" t="str">
        <f>VLOOKUP(H145,'Input keuzevariabelen'!$F:$J,5,FALSE)</f>
        <v>gram CO2/m3</v>
      </c>
      <c r="N145" s="284">
        <f t="shared" si="7"/>
        <v>14.976554999999999</v>
      </c>
      <c r="O145" s="115" t="s">
        <v>195</v>
      </c>
      <c r="P145" s="116"/>
      <c r="Q145" s="116" t="s">
        <v>120</v>
      </c>
      <c r="R145" s="107">
        <f>SUMIFS('Input keuzevariabelen'!$P:$P,'Input keuzevariabelen'!$M:$M,Data!H145)</f>
        <v>3.1649999999999998E-2</v>
      </c>
      <c r="S145" s="291">
        <f t="shared" si="8"/>
        <v>227.34194999999997</v>
      </c>
    </row>
    <row r="146" spans="3:19" ht="16.5" thickTop="1" thickBot="1" x14ac:dyDescent="0.25">
      <c r="C146" s="141" t="s">
        <v>11</v>
      </c>
      <c r="D146" s="257">
        <f>VLOOKUP(C146,'Input keuzevariabelen'!$B:$C,2,FALSE)</f>
        <v>1</v>
      </c>
      <c r="E146" s="137">
        <v>2022</v>
      </c>
      <c r="F146" s="142" t="s">
        <v>13</v>
      </c>
      <c r="G146" s="106">
        <f>VLOOKUP(H146,'Input keuzevariabelen'!$F:$J,2,FALSE)</f>
        <v>1</v>
      </c>
      <c r="H146" s="112" t="s">
        <v>21</v>
      </c>
      <c r="I146" s="332">
        <v>21572</v>
      </c>
      <c r="J146" s="288">
        <f t="shared" si="6"/>
        <v>21572</v>
      </c>
      <c r="K146" s="107" t="str">
        <f>VLOOKUP(H146,'Input keuzevariabelen'!$F:$J,3,FALSE)</f>
        <v>m3</v>
      </c>
      <c r="L146" s="107">
        <f>SUMIFS('Input keuzevariabelen'!$I:$I,'Input keuzevariabelen'!$F:$F,Data!H146,'Input keuzevariabelen'!$K:$K,Data!E146)</f>
        <v>2085</v>
      </c>
      <c r="M146" s="107" t="str">
        <f>VLOOKUP(H146,'Input keuzevariabelen'!$F:$J,5,FALSE)</f>
        <v>gram CO2/m3</v>
      </c>
      <c r="N146" s="284">
        <f t="shared" si="7"/>
        <v>44.977620000000002</v>
      </c>
      <c r="O146" s="115" t="s">
        <v>195</v>
      </c>
      <c r="P146" s="115"/>
      <c r="Q146" s="116" t="s">
        <v>121</v>
      </c>
      <c r="R146" s="107">
        <f>SUMIFS('Input keuzevariabelen'!$P:$P,'Input keuzevariabelen'!$M:$M,Data!H146)</f>
        <v>3.1649999999999998E-2</v>
      </c>
      <c r="S146" s="291">
        <f t="shared" si="8"/>
        <v>682.75379999999996</v>
      </c>
    </row>
    <row r="147" spans="3:19" ht="16.5" thickTop="1" thickBot="1" x14ac:dyDescent="0.25">
      <c r="C147" s="141" t="s">
        <v>11</v>
      </c>
      <c r="D147" s="257">
        <f>VLOOKUP(C147,'Input keuzevariabelen'!$B:$C,2,FALSE)</f>
        <v>1</v>
      </c>
      <c r="E147" s="137">
        <v>2022</v>
      </c>
      <c r="F147" s="142" t="s">
        <v>13</v>
      </c>
      <c r="G147" s="106">
        <f>VLOOKUP(H147,'Input keuzevariabelen'!$F:$J,2,FALSE)</f>
        <v>1</v>
      </c>
      <c r="H147" s="112" t="s">
        <v>21</v>
      </c>
      <c r="I147" s="332">
        <v>25337</v>
      </c>
      <c r="J147" s="288">
        <f t="shared" si="6"/>
        <v>25337</v>
      </c>
      <c r="K147" s="107" t="str">
        <f>VLOOKUP(H147,'Input keuzevariabelen'!$F:$J,3,FALSE)</f>
        <v>m3</v>
      </c>
      <c r="L147" s="107">
        <f>SUMIFS('Input keuzevariabelen'!$I:$I,'Input keuzevariabelen'!$F:$F,Data!H147,'Input keuzevariabelen'!$K:$K,Data!E147)</f>
        <v>2085</v>
      </c>
      <c r="M147" s="107" t="str">
        <f>VLOOKUP(H147,'Input keuzevariabelen'!$F:$J,5,FALSE)</f>
        <v>gram CO2/m3</v>
      </c>
      <c r="N147" s="284">
        <f t="shared" si="7"/>
        <v>52.827644999999997</v>
      </c>
      <c r="O147" s="115" t="s">
        <v>195</v>
      </c>
      <c r="P147" s="115"/>
      <c r="Q147" s="116" t="s">
        <v>116</v>
      </c>
      <c r="R147" s="107">
        <f>SUMIFS('Input keuzevariabelen'!$P:$P,'Input keuzevariabelen'!$M:$M,Data!H147)</f>
        <v>3.1649999999999998E-2</v>
      </c>
      <c r="S147" s="291">
        <f t="shared" si="8"/>
        <v>801.91604999999993</v>
      </c>
    </row>
    <row r="148" spans="3:19" ht="16.5" thickTop="1" thickBot="1" x14ac:dyDescent="0.25">
      <c r="C148" s="141" t="s">
        <v>11</v>
      </c>
      <c r="D148" s="257">
        <f>VLOOKUP(C148,'Input keuzevariabelen'!$B:$C,2,FALSE)</f>
        <v>1</v>
      </c>
      <c r="E148" s="137">
        <v>2022</v>
      </c>
      <c r="F148" s="142" t="s">
        <v>13</v>
      </c>
      <c r="G148" s="106">
        <f>VLOOKUP(H148,'Input keuzevariabelen'!$F:$J,2,FALSE)</f>
        <v>1</v>
      </c>
      <c r="H148" s="112" t="s">
        <v>21</v>
      </c>
      <c r="I148" s="332">
        <v>92909</v>
      </c>
      <c r="J148" s="288">
        <f t="shared" si="6"/>
        <v>92909</v>
      </c>
      <c r="K148" s="107" t="str">
        <f>VLOOKUP(H148,'Input keuzevariabelen'!$F:$J,3,FALSE)</f>
        <v>m3</v>
      </c>
      <c r="L148" s="107">
        <f>SUMIFS('Input keuzevariabelen'!$I:$I,'Input keuzevariabelen'!$F:$F,Data!H148,'Input keuzevariabelen'!$K:$K,Data!E148)</f>
        <v>2085</v>
      </c>
      <c r="M148" s="107" t="str">
        <f>VLOOKUP(H148,'Input keuzevariabelen'!$F:$J,5,FALSE)</f>
        <v>gram CO2/m3</v>
      </c>
      <c r="N148" s="284">
        <f t="shared" si="7"/>
        <v>193.71526499999999</v>
      </c>
      <c r="O148" s="115" t="s">
        <v>195</v>
      </c>
      <c r="P148" s="115"/>
      <c r="Q148" s="116" t="s">
        <v>117</v>
      </c>
      <c r="R148" s="107">
        <f>SUMIFS('Input keuzevariabelen'!$P:$P,'Input keuzevariabelen'!$M:$M,Data!H148)</f>
        <v>3.1649999999999998E-2</v>
      </c>
      <c r="S148" s="291">
        <f t="shared" si="8"/>
        <v>2940.5698499999999</v>
      </c>
    </row>
    <row r="149" spans="3:19" ht="16.5" thickTop="1" thickBot="1" x14ac:dyDescent="0.25">
      <c r="C149" s="141" t="s">
        <v>11</v>
      </c>
      <c r="D149" s="257">
        <f>VLOOKUP(C149,'Input keuzevariabelen'!$B:$C,2,FALSE)</f>
        <v>1</v>
      </c>
      <c r="E149" s="137">
        <v>2022</v>
      </c>
      <c r="F149" s="142" t="s">
        <v>13</v>
      </c>
      <c r="G149" s="106">
        <f>VLOOKUP(H149,'Input keuzevariabelen'!$F:$J,2,FALSE)</f>
        <v>1</v>
      </c>
      <c r="H149" s="112" t="s">
        <v>21</v>
      </c>
      <c r="I149" s="332">
        <v>477403</v>
      </c>
      <c r="J149" s="288">
        <f t="shared" si="6"/>
        <v>477403</v>
      </c>
      <c r="K149" s="107" t="str">
        <f>VLOOKUP(H149,'Input keuzevariabelen'!$F:$J,3,FALSE)</f>
        <v>m3</v>
      </c>
      <c r="L149" s="107">
        <f>SUMIFS('Input keuzevariabelen'!$I:$I,'Input keuzevariabelen'!$F:$F,Data!H149,'Input keuzevariabelen'!$K:$K,Data!E149)</f>
        <v>2085</v>
      </c>
      <c r="M149" s="107" t="str">
        <f>VLOOKUP(H149,'Input keuzevariabelen'!$F:$J,5,FALSE)</f>
        <v>gram CO2/m3</v>
      </c>
      <c r="N149" s="284">
        <f t="shared" si="7"/>
        <v>995.38525500000003</v>
      </c>
      <c r="O149" s="115" t="s">
        <v>195</v>
      </c>
      <c r="P149" s="115"/>
      <c r="Q149" s="116" t="s">
        <v>118</v>
      </c>
      <c r="R149" s="107">
        <f>SUMIFS('Input keuzevariabelen'!$P:$P,'Input keuzevariabelen'!$M:$M,Data!H149)</f>
        <v>3.1649999999999998E-2</v>
      </c>
      <c r="S149" s="291">
        <f t="shared" si="8"/>
        <v>15109.80495</v>
      </c>
    </row>
    <row r="150" spans="3:19" ht="16.5" thickTop="1" thickBot="1" x14ac:dyDescent="0.25">
      <c r="C150" s="141" t="s">
        <v>11</v>
      </c>
      <c r="D150" s="257">
        <f>VLOOKUP(C150,'Input keuzevariabelen'!$B:$C,2,FALSE)</f>
        <v>1</v>
      </c>
      <c r="E150" s="137">
        <v>2022</v>
      </c>
      <c r="F150" s="142" t="s">
        <v>13</v>
      </c>
      <c r="G150" s="106">
        <f>VLOOKUP(H150,'Input keuzevariabelen'!$F:$J,2,FALSE)</f>
        <v>1</v>
      </c>
      <c r="H150" s="112" t="s">
        <v>21</v>
      </c>
      <c r="I150" s="332">
        <v>953581</v>
      </c>
      <c r="J150" s="288">
        <f t="shared" si="6"/>
        <v>953581</v>
      </c>
      <c r="K150" s="107" t="str">
        <f>VLOOKUP(H150,'Input keuzevariabelen'!$F:$J,3,FALSE)</f>
        <v>m3</v>
      </c>
      <c r="L150" s="107">
        <f>SUMIFS('Input keuzevariabelen'!$I:$I,'Input keuzevariabelen'!$F:$F,Data!H150,'Input keuzevariabelen'!$K:$K,Data!E150)</f>
        <v>2085</v>
      </c>
      <c r="M150" s="107" t="str">
        <f>VLOOKUP(H150,'Input keuzevariabelen'!$F:$J,5,FALSE)</f>
        <v>gram CO2/m3</v>
      </c>
      <c r="N150" s="284">
        <f t="shared" si="7"/>
        <v>1988.2163849999999</v>
      </c>
      <c r="O150" s="115" t="s">
        <v>195</v>
      </c>
      <c r="P150" s="115"/>
      <c r="Q150" s="116" t="s">
        <v>119</v>
      </c>
      <c r="R150" s="107">
        <f>SUMIFS('Input keuzevariabelen'!$P:$P,'Input keuzevariabelen'!$M:$M,Data!H150)</f>
        <v>3.1649999999999998E-2</v>
      </c>
      <c r="S150" s="291">
        <f t="shared" si="8"/>
        <v>30180.838649999998</v>
      </c>
    </row>
    <row r="151" spans="3:19" ht="16.5" thickTop="1" thickBot="1" x14ac:dyDescent="0.25">
      <c r="C151" s="141" t="s">
        <v>11</v>
      </c>
      <c r="D151" s="257">
        <f>VLOOKUP(C151,'Input keuzevariabelen'!$B:$C,2,FALSE)</f>
        <v>1</v>
      </c>
      <c r="E151" s="137">
        <v>2022</v>
      </c>
      <c r="F151" s="142" t="s">
        <v>13</v>
      </c>
      <c r="G151" s="106" t="str">
        <f>VLOOKUP(H151,'Input keuzevariabelen'!$F:$J,2,FALSE)</f>
        <v>Memo</v>
      </c>
      <c r="H151" s="112" t="s">
        <v>50</v>
      </c>
      <c r="I151" s="332">
        <v>36</v>
      </c>
      <c r="J151" s="288">
        <f t="shared" si="6"/>
        <v>36</v>
      </c>
      <c r="K151" s="107" t="str">
        <f>VLOOKUP(H151,'Input keuzevariabelen'!$F:$J,3,FALSE)</f>
        <v>m3</v>
      </c>
      <c r="L151" s="107">
        <f>SUMIFS('Input keuzevariabelen'!$I:$I,'Input keuzevariabelen'!$F:$F,Data!H151,'Input keuzevariabelen'!$K:$K,Data!E151)</f>
        <v>1964</v>
      </c>
      <c r="M151" s="107" t="str">
        <f>VLOOKUP(H151,'Input keuzevariabelen'!$F:$J,5,FALSE)</f>
        <v>gram CO2/m3</v>
      </c>
      <c r="N151" s="284">
        <f t="shared" si="7"/>
        <v>7.0704000000000003E-2</v>
      </c>
      <c r="O151" s="115" t="s">
        <v>195</v>
      </c>
      <c r="P151" s="115"/>
      <c r="Q151" s="116" t="s">
        <v>116</v>
      </c>
      <c r="R151" s="107">
        <f>SUMIFS('Input keuzevariabelen'!$P:$P,'Input keuzevariabelen'!$M:$M,Data!H151)</f>
        <v>0</v>
      </c>
      <c r="S151" s="291">
        <f t="shared" si="8"/>
        <v>0</v>
      </c>
    </row>
    <row r="152" spans="3:19" ht="16.5" thickTop="1" thickBot="1" x14ac:dyDescent="0.25">
      <c r="C152" s="141" t="s">
        <v>11</v>
      </c>
      <c r="D152" s="257">
        <f>VLOOKUP(C152,'Input keuzevariabelen'!$B:$C,2,FALSE)</f>
        <v>1</v>
      </c>
      <c r="E152" s="137">
        <v>2022</v>
      </c>
      <c r="F152" s="142" t="s">
        <v>13</v>
      </c>
      <c r="G152" s="106" t="str">
        <f>VLOOKUP(H152,'Input keuzevariabelen'!$F:$J,2,FALSE)</f>
        <v>Memo</v>
      </c>
      <c r="H152" s="112" t="s">
        <v>50</v>
      </c>
      <c r="I152" s="332">
        <v>4374</v>
      </c>
      <c r="J152" s="288">
        <f t="shared" si="6"/>
        <v>4374</v>
      </c>
      <c r="K152" s="107" t="str">
        <f>VLOOKUP(H152,'Input keuzevariabelen'!$F:$J,3,FALSE)</f>
        <v>m3</v>
      </c>
      <c r="L152" s="107">
        <f>SUMIFS('Input keuzevariabelen'!$I:$I,'Input keuzevariabelen'!$F:$F,Data!H152,'Input keuzevariabelen'!$K:$K,Data!E152)</f>
        <v>1964</v>
      </c>
      <c r="M152" s="107" t="str">
        <f>VLOOKUP(H152,'Input keuzevariabelen'!$F:$J,5,FALSE)</f>
        <v>gram CO2/m3</v>
      </c>
      <c r="N152" s="284">
        <f t="shared" si="7"/>
        <v>8.5905360000000002</v>
      </c>
      <c r="O152" s="115" t="s">
        <v>195</v>
      </c>
      <c r="P152" s="115"/>
      <c r="Q152" s="116" t="s">
        <v>117</v>
      </c>
      <c r="R152" s="107">
        <f>SUMIFS('Input keuzevariabelen'!$P:$P,'Input keuzevariabelen'!$M:$M,Data!H152)</f>
        <v>0</v>
      </c>
      <c r="S152" s="291">
        <f t="shared" si="8"/>
        <v>0</v>
      </c>
    </row>
    <row r="153" spans="3:19" ht="16.5" thickTop="1" thickBot="1" x14ac:dyDescent="0.25">
      <c r="C153" s="141" t="s">
        <v>11</v>
      </c>
      <c r="D153" s="257">
        <f>VLOOKUP(C153,'Input keuzevariabelen'!$B:$C,2,FALSE)</f>
        <v>1</v>
      </c>
      <c r="E153" s="137">
        <v>2022</v>
      </c>
      <c r="F153" s="142" t="s">
        <v>13</v>
      </c>
      <c r="G153" s="106" t="str">
        <f>VLOOKUP(H153,'Input keuzevariabelen'!$F:$J,2,FALSE)</f>
        <v>Memo</v>
      </c>
      <c r="H153" s="112" t="s">
        <v>50</v>
      </c>
      <c r="I153" s="332">
        <v>138465</v>
      </c>
      <c r="J153" s="288">
        <f t="shared" si="6"/>
        <v>138465</v>
      </c>
      <c r="K153" s="107" t="str">
        <f>VLOOKUP(H153,'Input keuzevariabelen'!$F:$J,3,FALSE)</f>
        <v>m3</v>
      </c>
      <c r="L153" s="107">
        <f>SUMIFS('Input keuzevariabelen'!$I:$I,'Input keuzevariabelen'!$F:$F,Data!H153,'Input keuzevariabelen'!$K:$K,Data!E153)</f>
        <v>1964</v>
      </c>
      <c r="M153" s="107" t="str">
        <f>VLOOKUP(H153,'Input keuzevariabelen'!$F:$J,5,FALSE)</f>
        <v>gram CO2/m3</v>
      </c>
      <c r="N153" s="284">
        <f t="shared" si="7"/>
        <v>271.94526000000002</v>
      </c>
      <c r="O153" s="115" t="s">
        <v>195</v>
      </c>
      <c r="P153" s="115"/>
      <c r="Q153" s="116" t="s">
        <v>118</v>
      </c>
      <c r="R153" s="107">
        <f>SUMIFS('Input keuzevariabelen'!$P:$P,'Input keuzevariabelen'!$M:$M,Data!H153)</f>
        <v>0</v>
      </c>
      <c r="S153" s="291">
        <f t="shared" si="8"/>
        <v>0</v>
      </c>
    </row>
    <row r="154" spans="3:19" ht="16.5" thickTop="1" thickBot="1" x14ac:dyDescent="0.25">
      <c r="C154" s="141" t="s">
        <v>11</v>
      </c>
      <c r="D154" s="257">
        <f>VLOOKUP(C154,'Input keuzevariabelen'!$B:$C,2,FALSE)</f>
        <v>1</v>
      </c>
      <c r="E154" s="137">
        <v>2022</v>
      </c>
      <c r="F154" s="142" t="s">
        <v>13</v>
      </c>
      <c r="G154" s="106" t="str">
        <f>VLOOKUP(H154,'Input keuzevariabelen'!$F:$J,2,FALSE)</f>
        <v>Memo</v>
      </c>
      <c r="H154" s="112" t="s">
        <v>50</v>
      </c>
      <c r="I154" s="332">
        <v>64442</v>
      </c>
      <c r="J154" s="288">
        <f t="shared" si="6"/>
        <v>64442</v>
      </c>
      <c r="K154" s="107" t="str">
        <f>VLOOKUP(H154,'Input keuzevariabelen'!$F:$J,3,FALSE)</f>
        <v>m3</v>
      </c>
      <c r="L154" s="107">
        <f>SUMIFS('Input keuzevariabelen'!$I:$I,'Input keuzevariabelen'!$F:$F,Data!H154,'Input keuzevariabelen'!$K:$K,Data!E154)</f>
        <v>1964</v>
      </c>
      <c r="M154" s="107" t="str">
        <f>VLOOKUP(H154,'Input keuzevariabelen'!$F:$J,5,FALSE)</f>
        <v>gram CO2/m3</v>
      </c>
      <c r="N154" s="284">
        <f t="shared" si="7"/>
        <v>126.564088</v>
      </c>
      <c r="O154" s="115" t="s">
        <v>195</v>
      </c>
      <c r="P154" s="115"/>
      <c r="Q154" s="116" t="s">
        <v>119</v>
      </c>
      <c r="R154" s="107">
        <f>SUMIFS('Input keuzevariabelen'!$P:$P,'Input keuzevariabelen'!$M:$M,Data!H154)</f>
        <v>0</v>
      </c>
      <c r="S154" s="291">
        <f t="shared" si="8"/>
        <v>0</v>
      </c>
    </row>
    <row r="155" spans="3:19" ht="16.5" thickTop="1" thickBot="1" x14ac:dyDescent="0.25">
      <c r="C155" s="141" t="s">
        <v>11</v>
      </c>
      <c r="D155" s="257">
        <f>VLOOKUP(C155,'Input keuzevariabelen'!$B:$C,2,FALSE)</f>
        <v>1</v>
      </c>
      <c r="E155" s="137">
        <v>2022</v>
      </c>
      <c r="F155" s="142" t="s">
        <v>13</v>
      </c>
      <c r="G155" s="106" t="str">
        <f>VLOOKUP(H155,'Input keuzevariabelen'!$F:$J,2,FALSE)</f>
        <v>Memo</v>
      </c>
      <c r="H155" s="112" t="s">
        <v>48</v>
      </c>
      <c r="I155" s="332">
        <v>53311</v>
      </c>
      <c r="J155" s="288">
        <f t="shared" si="6"/>
        <v>53311</v>
      </c>
      <c r="K155" s="107" t="str">
        <f>VLOOKUP(H155,'Input keuzevariabelen'!$F:$J,3,FALSE)</f>
        <v>m3</v>
      </c>
      <c r="L155" s="107">
        <f>SUMIFS('Input keuzevariabelen'!$I:$I,'Input keuzevariabelen'!$F:$F,Data!H155,'Input keuzevariabelen'!$K:$K,Data!E155)</f>
        <v>1964</v>
      </c>
      <c r="M155" s="107" t="str">
        <f>VLOOKUP(H155,'Input keuzevariabelen'!$F:$J,5,FALSE)</f>
        <v>gram CO2/m3</v>
      </c>
      <c r="N155" s="284">
        <f t="shared" si="7"/>
        <v>104.702804</v>
      </c>
      <c r="O155" s="115" t="s">
        <v>195</v>
      </c>
      <c r="P155" s="115"/>
      <c r="Q155" s="116" t="s">
        <v>116</v>
      </c>
      <c r="R155" s="107">
        <f>SUMIFS('Input keuzevariabelen'!$P:$P,'Input keuzevariabelen'!$M:$M,Data!H155)</f>
        <v>0</v>
      </c>
      <c r="S155" s="291">
        <f t="shared" si="8"/>
        <v>0</v>
      </c>
    </row>
    <row r="156" spans="3:19" ht="16.5" thickTop="1" thickBot="1" x14ac:dyDescent="0.25">
      <c r="C156" s="141" t="s">
        <v>11</v>
      </c>
      <c r="D156" s="257">
        <f>VLOOKUP(C156,'Input keuzevariabelen'!$B:$C,2,FALSE)</f>
        <v>1</v>
      </c>
      <c r="E156" s="137">
        <v>2022</v>
      </c>
      <c r="F156" s="142" t="s">
        <v>13</v>
      </c>
      <c r="G156" s="106" t="str">
        <f>VLOOKUP(H156,'Input keuzevariabelen'!$F:$J,2,FALSE)</f>
        <v>Memo</v>
      </c>
      <c r="H156" s="112" t="s">
        <v>48</v>
      </c>
      <c r="I156" s="332">
        <v>4804</v>
      </c>
      <c r="J156" s="288">
        <f t="shared" si="6"/>
        <v>4804</v>
      </c>
      <c r="K156" s="107" t="str">
        <f>VLOOKUP(H156,'Input keuzevariabelen'!$F:$J,3,FALSE)</f>
        <v>m3</v>
      </c>
      <c r="L156" s="107">
        <f>SUMIFS('Input keuzevariabelen'!$I:$I,'Input keuzevariabelen'!$F:$F,Data!H156,'Input keuzevariabelen'!$K:$K,Data!E156)</f>
        <v>1964</v>
      </c>
      <c r="M156" s="107" t="str">
        <f>VLOOKUP(H156,'Input keuzevariabelen'!$F:$J,5,FALSE)</f>
        <v>gram CO2/m3</v>
      </c>
      <c r="N156" s="284">
        <f t="shared" si="7"/>
        <v>9.4350559999999994</v>
      </c>
      <c r="O156" s="115" t="s">
        <v>195</v>
      </c>
      <c r="P156" s="115"/>
      <c r="Q156" s="116" t="s">
        <v>117</v>
      </c>
      <c r="R156" s="107">
        <f>SUMIFS('Input keuzevariabelen'!$P:$P,'Input keuzevariabelen'!$M:$M,Data!H156)</f>
        <v>0</v>
      </c>
      <c r="S156" s="291">
        <f t="shared" si="8"/>
        <v>0</v>
      </c>
    </row>
    <row r="157" spans="3:19" ht="16.5" thickTop="1" thickBot="1" x14ac:dyDescent="0.25">
      <c r="C157" s="141" t="s">
        <v>11</v>
      </c>
      <c r="D157" s="257">
        <f>VLOOKUP(C157,'Input keuzevariabelen'!$B:$C,2,FALSE)</f>
        <v>1</v>
      </c>
      <c r="E157" s="137">
        <v>2022</v>
      </c>
      <c r="F157" s="142" t="s">
        <v>13</v>
      </c>
      <c r="G157" s="106" t="str">
        <f>VLOOKUP(H157,'Input keuzevariabelen'!$F:$J,2,FALSE)</f>
        <v>Memo</v>
      </c>
      <c r="H157" s="112" t="s">
        <v>48</v>
      </c>
      <c r="I157" s="332">
        <v>266872</v>
      </c>
      <c r="J157" s="288">
        <f t="shared" si="6"/>
        <v>266872</v>
      </c>
      <c r="K157" s="107" t="str">
        <f>VLOOKUP(H157,'Input keuzevariabelen'!$F:$J,3,FALSE)</f>
        <v>m3</v>
      </c>
      <c r="L157" s="107">
        <f>SUMIFS('Input keuzevariabelen'!$I:$I,'Input keuzevariabelen'!$F:$F,Data!H157,'Input keuzevariabelen'!$K:$K,Data!E157)</f>
        <v>1964</v>
      </c>
      <c r="M157" s="107" t="str">
        <f>VLOOKUP(H157,'Input keuzevariabelen'!$F:$J,5,FALSE)</f>
        <v>gram CO2/m3</v>
      </c>
      <c r="N157" s="284">
        <f t="shared" si="7"/>
        <v>524.13660800000002</v>
      </c>
      <c r="O157" s="115" t="s">
        <v>195</v>
      </c>
      <c r="P157" s="115"/>
      <c r="Q157" s="116" t="s">
        <v>119</v>
      </c>
      <c r="R157" s="107">
        <f>SUMIFS('Input keuzevariabelen'!$P:$P,'Input keuzevariabelen'!$M:$M,Data!H157)</f>
        <v>0</v>
      </c>
      <c r="S157" s="291">
        <f t="shared" si="8"/>
        <v>0</v>
      </c>
    </row>
    <row r="158" spans="3:19" ht="16.5" thickTop="1" thickBot="1" x14ac:dyDescent="0.25">
      <c r="C158" s="141" t="s">
        <v>11</v>
      </c>
      <c r="D158" s="257">
        <f>VLOOKUP(C158,'Input keuzevariabelen'!$B:$C,2,FALSE)</f>
        <v>1</v>
      </c>
      <c r="E158" s="137">
        <v>2022</v>
      </c>
      <c r="F158" s="142" t="s">
        <v>13</v>
      </c>
      <c r="G158" s="106">
        <f>VLOOKUP(H158,'Input keuzevariabelen'!$F:$J,2,FALSE)</f>
        <v>1</v>
      </c>
      <c r="H158" s="112" t="s">
        <v>23</v>
      </c>
      <c r="I158" s="332">
        <v>5000</v>
      </c>
      <c r="J158" s="288">
        <f t="shared" si="6"/>
        <v>5000</v>
      </c>
      <c r="K158" s="107" t="str">
        <f>VLOOKUP(H158,'Input keuzevariabelen'!$F:$J,3,FALSE)</f>
        <v>liter</v>
      </c>
      <c r="L158" s="107">
        <f>SUMIFS('Input keuzevariabelen'!$I:$I,'Input keuzevariabelen'!$F:$F,Data!H158,'Input keuzevariabelen'!$K:$K,Data!E158)</f>
        <v>3262</v>
      </c>
      <c r="M158" s="107" t="str">
        <f>VLOOKUP(H158,'Input keuzevariabelen'!$F:$J,5,FALSE)</f>
        <v>gram CO2/liter</v>
      </c>
      <c r="N158" s="284">
        <f t="shared" si="7"/>
        <v>16.309999999999999</v>
      </c>
      <c r="O158" s="115" t="s">
        <v>195</v>
      </c>
      <c r="P158" s="115"/>
      <c r="Q158" s="116" t="s">
        <v>119</v>
      </c>
      <c r="R158" s="107">
        <f>SUMIFS('Input keuzevariabelen'!$P:$P,'Input keuzevariabelen'!$M:$M,Data!H158)</f>
        <v>3.6299999999999999E-2</v>
      </c>
      <c r="S158" s="291">
        <f t="shared" si="8"/>
        <v>181.5</v>
      </c>
    </row>
    <row r="159" spans="3:19" ht="16.5" thickTop="1" thickBot="1" x14ac:dyDescent="0.25">
      <c r="C159" s="141" t="s">
        <v>11</v>
      </c>
      <c r="D159" s="257">
        <f>VLOOKUP(C159,'Input keuzevariabelen'!$B:$C,2,FALSE)</f>
        <v>1</v>
      </c>
      <c r="E159" s="137">
        <v>2022</v>
      </c>
      <c r="F159" s="142" t="s">
        <v>13</v>
      </c>
      <c r="G159" s="106">
        <f>VLOOKUP(H159,'Input keuzevariabelen'!$F:$J,2,FALSE)</f>
        <v>1</v>
      </c>
      <c r="H159" s="112" t="s">
        <v>25</v>
      </c>
      <c r="I159" s="332">
        <v>30910</v>
      </c>
      <c r="J159" s="288">
        <f t="shared" si="6"/>
        <v>30910</v>
      </c>
      <c r="K159" s="107" t="str">
        <f>VLOOKUP(H159,'Input keuzevariabelen'!$F:$J,3,FALSE)</f>
        <v>liter</v>
      </c>
      <c r="L159" s="107">
        <f>SUMIFS('Input keuzevariabelen'!$I:$I,'Input keuzevariabelen'!$F:$F,Data!H159,'Input keuzevariabelen'!$K:$K,Data!E159)</f>
        <v>2784</v>
      </c>
      <c r="M159" s="107" t="str">
        <f>VLOOKUP(H159,'Input keuzevariabelen'!$F:$J,5,FALSE)</f>
        <v>gram CO2/liter</v>
      </c>
      <c r="N159" s="284">
        <f t="shared" si="7"/>
        <v>86.053439999999995</v>
      </c>
      <c r="O159" s="115" t="s">
        <v>196</v>
      </c>
      <c r="P159" s="115"/>
      <c r="Q159" s="116"/>
      <c r="R159" s="107">
        <f>SUMIFS('Input keuzevariabelen'!$P:$P,'Input keuzevariabelen'!$M:$M,Data!H159)</f>
        <v>3.1E-2</v>
      </c>
      <c r="S159" s="291">
        <f t="shared" si="8"/>
        <v>958.21</v>
      </c>
    </row>
    <row r="160" spans="3:19" ht="16.5" thickTop="1" thickBot="1" x14ac:dyDescent="0.25">
      <c r="C160" s="141" t="s">
        <v>11</v>
      </c>
      <c r="D160" s="257">
        <f>VLOOKUP(C160,'Input keuzevariabelen'!$B:$C,2,FALSE)</f>
        <v>1</v>
      </c>
      <c r="E160" s="137">
        <v>2022</v>
      </c>
      <c r="F160" s="142" t="s">
        <v>13</v>
      </c>
      <c r="G160" s="106">
        <f>VLOOKUP(H160,'Input keuzevariabelen'!$F:$J,2,FALSE)</f>
        <v>1</v>
      </c>
      <c r="H160" s="112" t="s">
        <v>23</v>
      </c>
      <c r="I160" s="332">
        <v>25360</v>
      </c>
      <c r="J160" s="288">
        <f t="shared" si="6"/>
        <v>25360</v>
      </c>
      <c r="K160" s="107" t="str">
        <f>VLOOKUP(H160,'Input keuzevariabelen'!$F:$J,3,FALSE)</f>
        <v>liter</v>
      </c>
      <c r="L160" s="107">
        <f>SUMIFS('Input keuzevariabelen'!$I:$I,'Input keuzevariabelen'!$F:$F,Data!H160,'Input keuzevariabelen'!$K:$K,Data!E160)</f>
        <v>3262</v>
      </c>
      <c r="M160" s="107" t="str">
        <f>VLOOKUP(H160,'Input keuzevariabelen'!$F:$J,5,FALSE)</f>
        <v>gram CO2/liter</v>
      </c>
      <c r="N160" s="284">
        <f t="shared" si="7"/>
        <v>82.724320000000006</v>
      </c>
      <c r="O160" s="115" t="s">
        <v>196</v>
      </c>
      <c r="P160" s="115"/>
      <c r="Q160" s="116"/>
      <c r="R160" s="107">
        <f>SUMIFS('Input keuzevariabelen'!$P:$P,'Input keuzevariabelen'!$M:$M,Data!H160)</f>
        <v>3.6299999999999999E-2</v>
      </c>
      <c r="S160" s="291">
        <f t="shared" si="8"/>
        <v>920.56799999999998</v>
      </c>
    </row>
    <row r="161" spans="3:19" ht="16.5" thickTop="1" thickBot="1" x14ac:dyDescent="0.25">
      <c r="C161" s="141" t="s">
        <v>11</v>
      </c>
      <c r="D161" s="257">
        <f>VLOOKUP(C161,'Input keuzevariabelen'!$B:$C,2,FALSE)</f>
        <v>1</v>
      </c>
      <c r="E161" s="137">
        <v>2022</v>
      </c>
      <c r="F161" s="142" t="s">
        <v>13</v>
      </c>
      <c r="G161" s="106">
        <f>VLOOKUP(H161,'Input keuzevariabelen'!$F:$J,2,FALSE)</f>
        <v>1</v>
      </c>
      <c r="H161" s="112" t="s">
        <v>197</v>
      </c>
      <c r="I161" s="332">
        <v>36450</v>
      </c>
      <c r="J161" s="288">
        <f t="shared" si="6"/>
        <v>36450</v>
      </c>
      <c r="K161" s="107" t="str">
        <f>VLOOKUP(H161,'Input keuzevariabelen'!$F:$J,3,FALSE)</f>
        <v>km</v>
      </c>
      <c r="L161" s="107">
        <f>SUMIFS('Input keuzevariabelen'!$I:$I,'Input keuzevariabelen'!$F:$F,Data!H161,'Input keuzevariabelen'!$K:$K,Data!E161)</f>
        <v>0</v>
      </c>
      <c r="M161" s="107" t="str">
        <f>VLOOKUP(H161,'Input keuzevariabelen'!$F:$J,5,FALSE)</f>
        <v>gram CO2/km</v>
      </c>
      <c r="N161" s="284">
        <f t="shared" si="7"/>
        <v>0</v>
      </c>
      <c r="O161" s="115" t="s">
        <v>196</v>
      </c>
      <c r="P161" s="115"/>
      <c r="Q161" s="116" t="s">
        <v>198</v>
      </c>
      <c r="R161" s="107">
        <f>SUMIFS('Input keuzevariabelen'!$P:$P,'Input keuzevariabelen'!$M:$M,Data!H161)</f>
        <v>0</v>
      </c>
      <c r="S161" s="291">
        <f t="shared" si="8"/>
        <v>0</v>
      </c>
    </row>
    <row r="162" spans="3:19" ht="16.5" thickTop="1" thickBot="1" x14ac:dyDescent="0.25">
      <c r="C162" s="141" t="s">
        <v>11</v>
      </c>
      <c r="D162" s="257">
        <f>VLOOKUP(C162,'Input keuzevariabelen'!$B:$C,2,FALSE)</f>
        <v>1</v>
      </c>
      <c r="E162" s="137">
        <v>2022</v>
      </c>
      <c r="F162" s="142" t="s">
        <v>13</v>
      </c>
      <c r="G162" s="106" t="str">
        <f>VLOOKUP(H162,'Input keuzevariabelen'!$F:$J,2,FALSE)</f>
        <v>bt</v>
      </c>
      <c r="H162" s="112" t="s">
        <v>38</v>
      </c>
      <c r="I162" s="332">
        <v>281120</v>
      </c>
      <c r="J162" s="288">
        <f t="shared" si="6"/>
        <v>281120</v>
      </c>
      <c r="K162" s="107" t="str">
        <f>VLOOKUP(H162,'Input keuzevariabelen'!$F:$J,3,FALSE)</f>
        <v>km</v>
      </c>
      <c r="L162" s="107">
        <f>SUMIFS('Input keuzevariabelen'!$I:$I,'Input keuzevariabelen'!$F:$F,Data!H162,'Input keuzevariabelen'!$K:$K,Data!E162)</f>
        <v>193</v>
      </c>
      <c r="M162" s="107" t="str">
        <f>VLOOKUP(H162,'Input keuzevariabelen'!$F:$J,5,FALSE)</f>
        <v>gram CO2/km</v>
      </c>
      <c r="N162" s="284">
        <f t="shared" si="7"/>
        <v>54.256160000000001</v>
      </c>
      <c r="O162" s="115" t="s">
        <v>196</v>
      </c>
      <c r="P162" s="115"/>
      <c r="Q162" s="116"/>
      <c r="R162" s="107">
        <f>SUMIFS('Input keuzevariabelen'!$P:$P,'Input keuzevariabelen'!$M:$M,Data!H162)</f>
        <v>0</v>
      </c>
      <c r="S162" s="291">
        <f t="shared" si="8"/>
        <v>0</v>
      </c>
    </row>
    <row r="163" spans="3:19" ht="16.5" thickTop="1" thickBot="1" x14ac:dyDescent="0.25">
      <c r="C163" s="141" t="s">
        <v>11</v>
      </c>
      <c r="D163" s="257">
        <f>VLOOKUP(C163,'Input keuzevariabelen'!$B:$C,2,FALSE)</f>
        <v>1</v>
      </c>
      <c r="E163" s="137">
        <v>2022</v>
      </c>
      <c r="F163" s="142" t="s">
        <v>13</v>
      </c>
      <c r="G163" s="106" t="str">
        <f>VLOOKUP(H163,'Input keuzevariabelen'!$F:$J,2,FALSE)</f>
        <v>bt</v>
      </c>
      <c r="H163" s="112" t="s">
        <v>40</v>
      </c>
      <c r="I163" s="332">
        <v>342839</v>
      </c>
      <c r="J163" s="288">
        <f t="shared" si="6"/>
        <v>342839</v>
      </c>
      <c r="K163" s="107" t="str">
        <f>VLOOKUP(H163,'Input keuzevariabelen'!$F:$J,3,FALSE)</f>
        <v>km</v>
      </c>
      <c r="L163" s="107">
        <f>SUMIFS('Input keuzevariabelen'!$I:$I,'Input keuzevariabelen'!$F:$F,Data!H163,'Input keuzevariabelen'!$K:$K,Data!E163)</f>
        <v>15</v>
      </c>
      <c r="M163" s="107" t="str">
        <f>VLOOKUP(H163,'Input keuzevariabelen'!$F:$J,5,FALSE)</f>
        <v>gram CO2/km</v>
      </c>
      <c r="N163" s="284">
        <f t="shared" si="7"/>
        <v>5.1425850000000004</v>
      </c>
      <c r="O163" s="115" t="s">
        <v>196</v>
      </c>
      <c r="P163" s="115"/>
      <c r="Q163" s="116"/>
      <c r="R163" s="107">
        <f>SUMIFS('Input keuzevariabelen'!$P:$P,'Input keuzevariabelen'!$M:$M,Data!H163)</f>
        <v>0</v>
      </c>
      <c r="S163" s="291">
        <f t="shared" si="8"/>
        <v>0</v>
      </c>
    </row>
    <row r="164" spans="3:19" ht="16.5" thickTop="1" thickBot="1" x14ac:dyDescent="0.25">
      <c r="C164" s="141" t="s">
        <v>11</v>
      </c>
      <c r="D164" s="257">
        <f>VLOOKUP(C164,'Input keuzevariabelen'!$B:$C,2,FALSE)</f>
        <v>1</v>
      </c>
      <c r="E164" s="137">
        <v>2022</v>
      </c>
      <c r="F164" s="142" t="s">
        <v>13</v>
      </c>
      <c r="G164" s="106" t="str">
        <f>VLOOKUP(H164,'Input keuzevariabelen'!$F:$J,2,FALSE)</f>
        <v>bt</v>
      </c>
      <c r="H164" s="112" t="s">
        <v>44</v>
      </c>
      <c r="I164" s="332">
        <v>303020</v>
      </c>
      <c r="J164" s="288">
        <f t="shared" si="6"/>
        <v>303020</v>
      </c>
      <c r="K164" s="107" t="str">
        <f>VLOOKUP(H164,'Input keuzevariabelen'!$F:$J,3,FALSE)</f>
        <v>km</v>
      </c>
      <c r="L164" s="107">
        <f>SUMIFS('Input keuzevariabelen'!$I:$I,'Input keuzevariabelen'!$F:$F,Data!H164,'Input keuzevariabelen'!$K:$K,Data!E164)</f>
        <v>157</v>
      </c>
      <c r="M164" s="107" t="str">
        <f>VLOOKUP(H164,'Input keuzevariabelen'!$F:$J,5,FALSE)</f>
        <v>gram CO2/km</v>
      </c>
      <c r="N164" s="284">
        <f t="shared" si="7"/>
        <v>47.57414</v>
      </c>
      <c r="O164" s="115" t="s">
        <v>196</v>
      </c>
      <c r="P164" s="115"/>
      <c r="Q164" s="116"/>
      <c r="R164" s="107">
        <f>SUMIFS('Input keuzevariabelen'!$P:$P,'Input keuzevariabelen'!$M:$M,Data!H164)</f>
        <v>0</v>
      </c>
      <c r="S164" s="291">
        <f t="shared" si="8"/>
        <v>0</v>
      </c>
    </row>
    <row r="165" spans="3:19" ht="16.5" thickTop="1" thickBot="1" x14ac:dyDescent="0.25">
      <c r="C165" s="141" t="s">
        <v>193</v>
      </c>
      <c r="D165" s="257">
        <f>VLOOKUP(C165,'Input keuzevariabelen'!$B:$C,2,FALSE)</f>
        <v>0.125</v>
      </c>
      <c r="E165" s="137">
        <v>2022</v>
      </c>
      <c r="F165" s="142" t="s">
        <v>13</v>
      </c>
      <c r="G165" s="106">
        <f>VLOOKUP(H165,'Input keuzevariabelen'!$F:$J,2,FALSE)</f>
        <v>1</v>
      </c>
      <c r="H165" s="112" t="s">
        <v>21</v>
      </c>
      <c r="I165" s="332">
        <v>265987</v>
      </c>
      <c r="J165" s="288">
        <f t="shared" si="6"/>
        <v>33248.375</v>
      </c>
      <c r="K165" s="107" t="str">
        <f>VLOOKUP(H165,'Input keuzevariabelen'!$F:$J,3,FALSE)</f>
        <v>m3</v>
      </c>
      <c r="L165" s="107">
        <f>SUMIFS('Input keuzevariabelen'!$I:$I,'Input keuzevariabelen'!$F:$F,Data!H165,'Input keuzevariabelen'!$K:$K,Data!E165)</f>
        <v>2085</v>
      </c>
      <c r="M165" s="107" t="str">
        <f>VLOOKUP(H165,'Input keuzevariabelen'!$F:$J,5,FALSE)</f>
        <v>gram CO2/m3</v>
      </c>
      <c r="N165" s="284">
        <f t="shared" si="7"/>
        <v>69.322861875000001</v>
      </c>
      <c r="O165" s="115" t="s">
        <v>199</v>
      </c>
      <c r="P165" s="115"/>
      <c r="Q165" s="116" t="s">
        <v>122</v>
      </c>
      <c r="R165" s="107">
        <f>SUMIFS('Input keuzevariabelen'!$P:$P,'Input keuzevariabelen'!$M:$M,Data!H165)</f>
        <v>3.1649999999999998E-2</v>
      </c>
      <c r="S165" s="291">
        <f t="shared" si="8"/>
        <v>1052.31106875</v>
      </c>
    </row>
    <row r="166" spans="3:19" ht="16.5" thickTop="1" thickBot="1" x14ac:dyDescent="0.25">
      <c r="C166" s="141" t="s">
        <v>193</v>
      </c>
      <c r="D166" s="257">
        <f>VLOOKUP(C166,'Input keuzevariabelen'!$B:$C,2,FALSE)</f>
        <v>0.125</v>
      </c>
      <c r="E166" s="137">
        <v>2022</v>
      </c>
      <c r="F166" s="142" t="s">
        <v>13</v>
      </c>
      <c r="G166" s="106">
        <f>VLOOKUP(H166,'Input keuzevariabelen'!$F:$J,2,FALSE)</f>
        <v>2</v>
      </c>
      <c r="H166" s="112" t="s">
        <v>31</v>
      </c>
      <c r="I166" s="332">
        <v>23476000</v>
      </c>
      <c r="J166" s="288">
        <f t="shared" si="6"/>
        <v>2934500</v>
      </c>
      <c r="K166" s="107" t="str">
        <f>VLOOKUP(H166,'Input keuzevariabelen'!$F:$J,3,FALSE)</f>
        <v>kWh</v>
      </c>
      <c r="L166" s="107">
        <f>SUMIFS('Input keuzevariabelen'!$I:$I,'Input keuzevariabelen'!$F:$F,Data!H166,'Input keuzevariabelen'!$K:$K,Data!E166)</f>
        <v>0</v>
      </c>
      <c r="M166" s="107" t="str">
        <f>VLOOKUP(H166,'Input keuzevariabelen'!$F:$J,5,FALSE)</f>
        <v>gram CO2/kWh</v>
      </c>
      <c r="N166" s="284">
        <f t="shared" si="7"/>
        <v>0</v>
      </c>
      <c r="O166" s="115" t="s">
        <v>199</v>
      </c>
      <c r="P166" s="115"/>
      <c r="Q166" s="116" t="s">
        <v>122</v>
      </c>
      <c r="R166" s="107">
        <f>SUMIFS('Input keuzevariabelen'!$P:$P,'Input keuzevariabelen'!$M:$M,Data!H166)</f>
        <v>5.2199999999999998E-3</v>
      </c>
      <c r="S166" s="291">
        <f t="shared" si="8"/>
        <v>15318.09</v>
      </c>
    </row>
    <row r="167" spans="3:19" ht="16.5" thickTop="1" thickBot="1" x14ac:dyDescent="0.25">
      <c r="C167" s="141" t="s">
        <v>123</v>
      </c>
      <c r="D167" s="257">
        <f>VLOOKUP(C167,'Input keuzevariabelen'!$B:$C,2,FALSE)</f>
        <v>0.28599999999999998</v>
      </c>
      <c r="E167" s="137">
        <v>2022</v>
      </c>
      <c r="F167" s="142" t="s">
        <v>13</v>
      </c>
      <c r="G167" s="106">
        <f>VLOOKUP(H167,'Input keuzevariabelen'!$F:$J,2,FALSE)</f>
        <v>1</v>
      </c>
      <c r="H167" s="112" t="s">
        <v>21</v>
      </c>
      <c r="I167" s="332">
        <f>I127</f>
        <v>13815</v>
      </c>
      <c r="J167" s="288">
        <f t="shared" si="6"/>
        <v>3951.0899999999997</v>
      </c>
      <c r="K167" s="107" t="str">
        <f>VLOOKUP(H167,'Input keuzevariabelen'!$F:$J,3,FALSE)</f>
        <v>m3</v>
      </c>
      <c r="L167" s="107">
        <f>SUMIFS('Input keuzevariabelen'!$I:$I,'Input keuzevariabelen'!$F:$F,Data!H167,'Input keuzevariabelen'!$K:$K,Data!E167)</f>
        <v>2085</v>
      </c>
      <c r="M167" s="107" t="str">
        <f>VLOOKUP(H167,'Input keuzevariabelen'!$F:$J,5,FALSE)</f>
        <v>gram CO2/m3</v>
      </c>
      <c r="N167" s="284">
        <f t="shared" si="7"/>
        <v>8.2380226499999996</v>
      </c>
      <c r="O167" s="115" t="s">
        <v>200</v>
      </c>
      <c r="P167" s="115"/>
      <c r="Q167" s="116" t="s">
        <v>123</v>
      </c>
      <c r="R167" s="107">
        <f>SUMIFS('Input keuzevariabelen'!$P:$P,'Input keuzevariabelen'!$M:$M,Data!H167)</f>
        <v>3.1649999999999998E-2</v>
      </c>
      <c r="S167" s="291">
        <f t="shared" si="8"/>
        <v>125.05199849999998</v>
      </c>
    </row>
    <row r="168" spans="3:19" ht="16.5" thickTop="1" thickBot="1" x14ac:dyDescent="0.25">
      <c r="C168" s="141" t="s">
        <v>123</v>
      </c>
      <c r="D168" s="257">
        <f>VLOOKUP(C168,'Input keuzevariabelen'!$B:$C,2,FALSE)</f>
        <v>0.28599999999999998</v>
      </c>
      <c r="E168" s="137">
        <v>2022</v>
      </c>
      <c r="F168" s="142" t="s">
        <v>13</v>
      </c>
      <c r="G168" s="106">
        <f>VLOOKUP(H168,'Input keuzevariabelen'!$F:$J,2,FALSE)</f>
        <v>2</v>
      </c>
      <c r="H168" s="112" t="s">
        <v>29</v>
      </c>
      <c r="I168" s="332">
        <f>483956*0.4008</f>
        <v>193969.56479999999</v>
      </c>
      <c r="J168" s="288">
        <f t="shared" si="6"/>
        <v>55475.295532799995</v>
      </c>
      <c r="K168" s="107" t="str">
        <f>VLOOKUP(H168,'Input keuzevariabelen'!$F:$J,3,FALSE)</f>
        <v>kWh</v>
      </c>
      <c r="L168" s="107">
        <f>SUMIFS('Input keuzevariabelen'!$I:$I,'Input keuzevariabelen'!$F:$F,Data!H168,'Input keuzevariabelen'!$K:$K,Data!E168)</f>
        <v>523</v>
      </c>
      <c r="M168" s="107" t="str">
        <f>VLOOKUP(H168,'Input keuzevariabelen'!$F:$J,5,FALSE)</f>
        <v>gram CO2/kWh</v>
      </c>
      <c r="N168" s="284">
        <f t="shared" si="7"/>
        <v>29.013579563654396</v>
      </c>
      <c r="O168" s="115" t="s">
        <v>201</v>
      </c>
      <c r="P168" s="115"/>
      <c r="Q168" s="116" t="s">
        <v>123</v>
      </c>
      <c r="R168" s="107">
        <f>SUMIFS('Input keuzevariabelen'!$P:$P,'Input keuzevariabelen'!$M:$M,Data!H168)</f>
        <v>5.2199999999999998E-3</v>
      </c>
      <c r="S168" s="291">
        <f t="shared" si="8"/>
        <v>289.58104268121599</v>
      </c>
    </row>
    <row r="169" spans="3:19" ht="16.5" thickTop="1" thickBot="1" x14ac:dyDescent="0.25">
      <c r="C169" s="141" t="s">
        <v>124</v>
      </c>
      <c r="D169" s="257">
        <f>VLOOKUP(C169,'Input keuzevariabelen'!$B:$C,2,FALSE)</f>
        <v>0.111</v>
      </c>
      <c r="E169" s="137">
        <v>2022</v>
      </c>
      <c r="F169" s="142" t="s">
        <v>13</v>
      </c>
      <c r="G169" s="106">
        <f>VLOOKUP(H169,'Input keuzevariabelen'!$F:$J,2,FALSE)</f>
        <v>1</v>
      </c>
      <c r="H169" s="112" t="s">
        <v>21</v>
      </c>
      <c r="I169" s="332">
        <v>128928</v>
      </c>
      <c r="J169" s="288">
        <f t="shared" si="6"/>
        <v>14311.008</v>
      </c>
      <c r="K169" s="107" t="str">
        <f>VLOOKUP(H169,'Input keuzevariabelen'!$F:$J,3,FALSE)</f>
        <v>m3</v>
      </c>
      <c r="L169" s="107">
        <f>SUMIFS('Input keuzevariabelen'!$I:$I,'Input keuzevariabelen'!$F:$F,Data!H169,'Input keuzevariabelen'!$K:$K,Data!E169)</f>
        <v>2085</v>
      </c>
      <c r="M169" s="107" t="str">
        <f>VLOOKUP(H169,'Input keuzevariabelen'!$F:$J,5,FALSE)</f>
        <v>gram CO2/m3</v>
      </c>
      <c r="N169" s="284">
        <f t="shared" si="7"/>
        <v>29.838451679999999</v>
      </c>
      <c r="O169" s="115" t="s">
        <v>202</v>
      </c>
      <c r="P169" s="115"/>
      <c r="Q169" s="116" t="s">
        <v>124</v>
      </c>
      <c r="R169" s="107">
        <f>SUMIFS('Input keuzevariabelen'!$P:$P,'Input keuzevariabelen'!$M:$M,Data!H169)</f>
        <v>3.1649999999999998E-2</v>
      </c>
      <c r="S169" s="291">
        <f t="shared" si="8"/>
        <v>452.94340319999998</v>
      </c>
    </row>
    <row r="170" spans="3:19" ht="16.5" thickTop="1" thickBot="1" x14ac:dyDescent="0.25">
      <c r="C170" s="141" t="s">
        <v>124</v>
      </c>
      <c r="D170" s="257">
        <f>VLOOKUP(C170,'Input keuzevariabelen'!$B:$C,2,FALSE)</f>
        <v>0.111</v>
      </c>
      <c r="E170" s="137">
        <v>2022</v>
      </c>
      <c r="F170" s="142" t="s">
        <v>13</v>
      </c>
      <c r="G170" s="106">
        <f>VLOOKUP(H170,'Input keuzevariabelen'!$F:$J,2,FALSE)</f>
        <v>2</v>
      </c>
      <c r="H170" s="112" t="s">
        <v>31</v>
      </c>
      <c r="I170" s="332">
        <v>1255209</v>
      </c>
      <c r="J170" s="288">
        <f t="shared" si="6"/>
        <v>139328.19899999999</v>
      </c>
      <c r="K170" s="107" t="str">
        <f>VLOOKUP(H170,'Input keuzevariabelen'!$F:$J,3,FALSE)</f>
        <v>kWh</v>
      </c>
      <c r="L170" s="107">
        <f>SUMIFS('Input keuzevariabelen'!$I:$I,'Input keuzevariabelen'!$F:$F,Data!H170,'Input keuzevariabelen'!$K:$K,Data!E170)</f>
        <v>0</v>
      </c>
      <c r="M170" s="107" t="str">
        <f>VLOOKUP(H170,'Input keuzevariabelen'!$F:$J,5,FALSE)</f>
        <v>gram CO2/kWh</v>
      </c>
      <c r="N170" s="284">
        <f t="shared" si="7"/>
        <v>0</v>
      </c>
      <c r="O170" s="115" t="s">
        <v>202</v>
      </c>
      <c r="P170" s="115"/>
      <c r="Q170" s="116" t="s">
        <v>124</v>
      </c>
      <c r="R170" s="107">
        <f>SUMIFS('Input keuzevariabelen'!$P:$P,'Input keuzevariabelen'!$M:$M,Data!H170)</f>
        <v>5.2199999999999998E-3</v>
      </c>
      <c r="S170" s="291">
        <f t="shared" si="8"/>
        <v>727.2931987799999</v>
      </c>
    </row>
    <row r="171" spans="3:19" ht="16.5" thickTop="1" thickBot="1" x14ac:dyDescent="0.25">
      <c r="C171" s="141" t="s">
        <v>124</v>
      </c>
      <c r="D171" s="257">
        <f>VLOOKUP(C171,'Input keuzevariabelen'!$B:$C,2,FALSE)</f>
        <v>0.111</v>
      </c>
      <c r="E171" s="137">
        <v>2022</v>
      </c>
      <c r="F171" s="142" t="s">
        <v>13</v>
      </c>
      <c r="G171" s="106">
        <f>VLOOKUP(H171,'Input keuzevariabelen'!$F:$J,2,FALSE)</f>
        <v>2</v>
      </c>
      <c r="H171" s="112" t="s">
        <v>32</v>
      </c>
      <c r="I171" s="332">
        <v>16249</v>
      </c>
      <c r="J171" s="288">
        <f t="shared" si="6"/>
        <v>1803.6390000000001</v>
      </c>
      <c r="K171" s="107" t="str">
        <f>VLOOKUP(H171,'Input keuzevariabelen'!$F:$J,3,FALSE)</f>
        <v>kWh</v>
      </c>
      <c r="L171" s="107">
        <f>SUMIFS('Input keuzevariabelen'!$I:$I,'Input keuzevariabelen'!$F:$F,Data!H171,'Input keuzevariabelen'!$K:$K,Data!E171)</f>
        <v>523</v>
      </c>
      <c r="M171" s="107" t="str">
        <f>VLOOKUP(H171,'Input keuzevariabelen'!$F:$J,5,FALSE)</f>
        <v>gram CO2/kWh</v>
      </c>
      <c r="N171" s="284">
        <f t="shared" si="7"/>
        <v>0.94330319700000009</v>
      </c>
      <c r="O171" s="115" t="s">
        <v>202</v>
      </c>
      <c r="P171" s="115"/>
      <c r="Q171" s="116" t="s">
        <v>124</v>
      </c>
      <c r="R171" s="107">
        <f>SUMIFS('Input keuzevariabelen'!$P:$P,'Input keuzevariabelen'!$M:$M,Data!H171)</f>
        <v>5.2199999999999998E-3</v>
      </c>
      <c r="S171" s="291">
        <f t="shared" si="8"/>
        <v>9.4149955800000011</v>
      </c>
    </row>
    <row r="172" spans="3:19" ht="16.5" thickTop="1" thickBot="1" x14ac:dyDescent="0.25">
      <c r="C172" s="141" t="s">
        <v>124</v>
      </c>
      <c r="D172" s="257">
        <f>VLOOKUP(C172,'Input keuzevariabelen'!$B:$C,2,FALSE)</f>
        <v>0.111</v>
      </c>
      <c r="E172" s="137">
        <v>2022</v>
      </c>
      <c r="F172" s="142" t="s">
        <v>13</v>
      </c>
      <c r="G172" s="106">
        <f>VLOOKUP(H172,'Input keuzevariabelen'!$F:$J,2,FALSE)</f>
        <v>1</v>
      </c>
      <c r="H172" s="112" t="s">
        <v>23</v>
      </c>
      <c r="I172" s="332">
        <v>128835</v>
      </c>
      <c r="J172" s="288">
        <f t="shared" si="6"/>
        <v>14300.684999999999</v>
      </c>
      <c r="K172" s="107" t="str">
        <f>VLOOKUP(H172,'Input keuzevariabelen'!$F:$J,3,FALSE)</f>
        <v>liter</v>
      </c>
      <c r="L172" s="107">
        <f>SUMIFS('Input keuzevariabelen'!$I:$I,'Input keuzevariabelen'!$F:$F,Data!H172,'Input keuzevariabelen'!$K:$K,Data!E172)</f>
        <v>3262</v>
      </c>
      <c r="M172" s="107" t="str">
        <f>VLOOKUP(H172,'Input keuzevariabelen'!$F:$J,5,FALSE)</f>
        <v>gram CO2/liter</v>
      </c>
      <c r="N172" s="284">
        <f t="shared" si="7"/>
        <v>46.648834469999997</v>
      </c>
      <c r="O172" s="115" t="s">
        <v>202</v>
      </c>
      <c r="P172" s="115"/>
      <c r="Q172" s="116" t="s">
        <v>124</v>
      </c>
      <c r="R172" s="107">
        <f>SUMIFS('Input keuzevariabelen'!$P:$P,'Input keuzevariabelen'!$M:$M,Data!H172)</f>
        <v>3.6299999999999999E-2</v>
      </c>
      <c r="S172" s="291">
        <f t="shared" si="8"/>
        <v>519.11486549999995</v>
      </c>
    </row>
    <row r="173" spans="3:19" ht="16.5" thickTop="1" thickBot="1" x14ac:dyDescent="0.25">
      <c r="C173" s="141" t="s">
        <v>124</v>
      </c>
      <c r="D173" s="257">
        <f>VLOOKUP(C173,'Input keuzevariabelen'!$B:$C,2,FALSE)</f>
        <v>0.111</v>
      </c>
      <c r="E173" s="137">
        <v>2022</v>
      </c>
      <c r="F173" s="142" t="s">
        <v>13</v>
      </c>
      <c r="G173" s="106">
        <f>VLOOKUP(H173,'Input keuzevariabelen'!$F:$J,2,FALSE)</f>
        <v>1</v>
      </c>
      <c r="H173" s="112" t="s">
        <v>25</v>
      </c>
      <c r="I173" s="332">
        <v>3936</v>
      </c>
      <c r="J173" s="288">
        <f t="shared" si="6"/>
        <v>436.89600000000002</v>
      </c>
      <c r="K173" s="107" t="str">
        <f>VLOOKUP(H173,'Input keuzevariabelen'!$F:$J,3,FALSE)</f>
        <v>liter</v>
      </c>
      <c r="L173" s="107">
        <f>SUMIFS('Input keuzevariabelen'!$I:$I,'Input keuzevariabelen'!$F:$F,Data!H173,'Input keuzevariabelen'!$K:$K,Data!E173)</f>
        <v>2784</v>
      </c>
      <c r="M173" s="107" t="str">
        <f>VLOOKUP(H173,'Input keuzevariabelen'!$F:$J,5,FALSE)</f>
        <v>gram CO2/liter</v>
      </c>
      <c r="N173" s="284">
        <f t="shared" si="7"/>
        <v>1.2163184640000002</v>
      </c>
      <c r="O173" s="115" t="s">
        <v>202</v>
      </c>
      <c r="P173" s="115"/>
      <c r="Q173" s="116" t="s">
        <v>124</v>
      </c>
      <c r="R173" s="107">
        <f>SUMIFS('Input keuzevariabelen'!$P:$P,'Input keuzevariabelen'!$M:$M,Data!H173)</f>
        <v>3.1E-2</v>
      </c>
      <c r="S173" s="291">
        <f t="shared" si="8"/>
        <v>13.543776000000001</v>
      </c>
    </row>
    <row r="174" spans="3:19" ht="16.5" thickTop="1" thickBot="1" x14ac:dyDescent="0.25">
      <c r="C174" s="141" t="s">
        <v>124</v>
      </c>
      <c r="D174" s="257">
        <f>VLOOKUP(C174,'Input keuzevariabelen'!$B:$C,2,FALSE)</f>
        <v>0.111</v>
      </c>
      <c r="E174" s="137">
        <v>2022</v>
      </c>
      <c r="F174" s="142" t="s">
        <v>13</v>
      </c>
      <c r="G174" s="106" t="str">
        <f>VLOOKUP(H174,'Input keuzevariabelen'!$F:$J,2,FALSE)</f>
        <v>bt</v>
      </c>
      <c r="H174" s="112" t="s">
        <v>38</v>
      </c>
      <c r="I174" s="332">
        <f>36144/0.19</f>
        <v>190231.57894736843</v>
      </c>
      <c r="J174" s="288">
        <f t="shared" si="6"/>
        <v>21115.705263157895</v>
      </c>
      <c r="K174" s="107" t="str">
        <f>VLOOKUP(H174,'Input keuzevariabelen'!$F:$J,3,FALSE)</f>
        <v>km</v>
      </c>
      <c r="L174" s="107">
        <f>SUMIFS('Input keuzevariabelen'!$I:$I,'Input keuzevariabelen'!$F:$F,Data!H174,'Input keuzevariabelen'!$K:$K,Data!E174)</f>
        <v>193</v>
      </c>
      <c r="M174" s="107" t="str">
        <f>VLOOKUP(H174,'Input keuzevariabelen'!$F:$J,5,FALSE)</f>
        <v>gram CO2/km</v>
      </c>
      <c r="N174" s="284">
        <f t="shared" si="7"/>
        <v>4.0753311157894743</v>
      </c>
      <c r="O174" s="115" t="s">
        <v>202</v>
      </c>
      <c r="P174" s="115"/>
      <c r="Q174" s="116" t="s">
        <v>124</v>
      </c>
      <c r="R174" s="107">
        <f>SUMIFS('Input keuzevariabelen'!$P:$P,'Input keuzevariabelen'!$M:$M,Data!H174)</f>
        <v>0</v>
      </c>
      <c r="S174" s="291">
        <f t="shared" si="8"/>
        <v>0</v>
      </c>
    </row>
    <row r="175" spans="3:19" ht="16.5" thickTop="1" thickBot="1" x14ac:dyDescent="0.25">
      <c r="C175" s="141" t="s">
        <v>124</v>
      </c>
      <c r="D175" s="257">
        <f>VLOOKUP(C175,'Input keuzevariabelen'!$B:$C,2,FALSE)</f>
        <v>0.111</v>
      </c>
      <c r="E175" s="137">
        <v>2022</v>
      </c>
      <c r="F175" s="142" t="s">
        <v>13</v>
      </c>
      <c r="G175" s="106" t="str">
        <f>VLOOKUP(H175,'Input keuzevariabelen'!$F:$J,2,FALSE)</f>
        <v>bt</v>
      </c>
      <c r="H175" s="112" t="s">
        <v>40</v>
      </c>
      <c r="I175" s="332">
        <f>8880/0.15</f>
        <v>59200</v>
      </c>
      <c r="J175" s="288">
        <f t="shared" si="6"/>
        <v>6571.2</v>
      </c>
      <c r="K175" s="107" t="str">
        <f>VLOOKUP(H175,'Input keuzevariabelen'!$F:$J,3,FALSE)</f>
        <v>km</v>
      </c>
      <c r="L175" s="107">
        <f>SUMIFS('Input keuzevariabelen'!$I:$I,'Input keuzevariabelen'!$F:$F,Data!H175,'Input keuzevariabelen'!$K:$K,Data!E175)</f>
        <v>15</v>
      </c>
      <c r="M175" s="107" t="str">
        <f>VLOOKUP(H175,'Input keuzevariabelen'!$F:$J,5,FALSE)</f>
        <v>gram CO2/km</v>
      </c>
      <c r="N175" s="284">
        <f t="shared" si="7"/>
        <v>9.8568000000000003E-2</v>
      </c>
      <c r="O175" s="115" t="s">
        <v>202</v>
      </c>
      <c r="P175" s="115"/>
      <c r="Q175" s="116" t="s">
        <v>124</v>
      </c>
      <c r="R175" s="107">
        <f>SUMIFS('Input keuzevariabelen'!$P:$P,'Input keuzevariabelen'!$M:$M,Data!H175)</f>
        <v>0</v>
      </c>
      <c r="S175" s="291">
        <f t="shared" si="8"/>
        <v>0</v>
      </c>
    </row>
    <row r="176" spans="3:19" ht="16.5" thickTop="1" thickBot="1" x14ac:dyDescent="0.25">
      <c r="C176" s="141" t="s">
        <v>203</v>
      </c>
      <c r="D176" s="257">
        <f>VLOOKUP(C176,'Input keuzevariabelen'!$B:$C,2,FALSE)</f>
        <v>4.8000000000000001E-2</v>
      </c>
      <c r="E176" s="137">
        <v>2022</v>
      </c>
      <c r="F176" s="142" t="s">
        <v>13</v>
      </c>
      <c r="G176" s="106">
        <f>VLOOKUP(H176,'Input keuzevariabelen'!$F:$J,2,FALSE)</f>
        <v>1</v>
      </c>
      <c r="H176" s="112" t="s">
        <v>21</v>
      </c>
      <c r="I176" s="332">
        <v>155</v>
      </c>
      <c r="J176" s="288">
        <f t="shared" si="6"/>
        <v>7.44</v>
      </c>
      <c r="K176" s="107" t="str">
        <f>VLOOKUP(H176,'Input keuzevariabelen'!$F:$J,3,FALSE)</f>
        <v>m3</v>
      </c>
      <c r="L176" s="107">
        <f>SUMIFS('Input keuzevariabelen'!$I:$I,'Input keuzevariabelen'!$F:$F,Data!H176,'Input keuzevariabelen'!$K:$K,Data!E176)</f>
        <v>2085</v>
      </c>
      <c r="M176" s="107" t="str">
        <f>VLOOKUP(H176,'Input keuzevariabelen'!$F:$J,5,FALSE)</f>
        <v>gram CO2/m3</v>
      </c>
      <c r="N176" s="284">
        <f t="shared" si="7"/>
        <v>1.5512400000000001E-2</v>
      </c>
      <c r="O176" s="115" t="s">
        <v>204</v>
      </c>
      <c r="P176" s="115"/>
      <c r="Q176" s="116" t="s">
        <v>125</v>
      </c>
      <c r="R176" s="107">
        <f>SUMIFS('Input keuzevariabelen'!$P:$P,'Input keuzevariabelen'!$M:$M,Data!H176)</f>
        <v>3.1649999999999998E-2</v>
      </c>
      <c r="S176" s="291">
        <f t="shared" si="8"/>
        <v>0.23547599999999999</v>
      </c>
    </row>
    <row r="177" spans="3:19" ht="16.5" thickTop="1" thickBot="1" x14ac:dyDescent="0.25">
      <c r="C177" s="141" t="s">
        <v>203</v>
      </c>
      <c r="D177" s="257">
        <f>VLOOKUP(C177,'Input keuzevariabelen'!$B:$C,2,FALSE)</f>
        <v>4.8000000000000001E-2</v>
      </c>
      <c r="E177" s="137">
        <v>2022</v>
      </c>
      <c r="F177" s="142" t="s">
        <v>13</v>
      </c>
      <c r="G177" s="106">
        <f>VLOOKUP(H177,'Input keuzevariabelen'!$F:$J,2,FALSE)</f>
        <v>2</v>
      </c>
      <c r="H177" s="112" t="s">
        <v>31</v>
      </c>
      <c r="I177" s="332">
        <f>365504/0.4581</f>
        <v>797869.46081641561</v>
      </c>
      <c r="J177" s="288">
        <f t="shared" si="6"/>
        <v>38297.734119187953</v>
      </c>
      <c r="K177" s="107" t="str">
        <f>VLOOKUP(H177,'Input keuzevariabelen'!$F:$J,3,FALSE)</f>
        <v>kWh</v>
      </c>
      <c r="L177" s="107">
        <f>SUMIFS('Input keuzevariabelen'!$I:$I,'Input keuzevariabelen'!$F:$F,Data!H177,'Input keuzevariabelen'!$K:$K,Data!E177)</f>
        <v>0</v>
      </c>
      <c r="M177" s="107" t="str">
        <f>VLOOKUP(H177,'Input keuzevariabelen'!$F:$J,5,FALSE)</f>
        <v>gram CO2/kWh</v>
      </c>
      <c r="N177" s="284">
        <f t="shared" si="7"/>
        <v>0</v>
      </c>
      <c r="O177" s="115" t="s">
        <v>205</v>
      </c>
      <c r="P177" s="115"/>
      <c r="Q177" s="116" t="s">
        <v>125</v>
      </c>
      <c r="R177" s="107">
        <f>SUMIFS('Input keuzevariabelen'!$P:$P,'Input keuzevariabelen'!$M:$M,Data!H177)</f>
        <v>5.2199999999999998E-3</v>
      </c>
      <c r="S177" s="291">
        <f t="shared" si="8"/>
        <v>199.9141721021611</v>
      </c>
    </row>
    <row r="178" spans="3:19" ht="16.5" thickTop="1" thickBot="1" x14ac:dyDescent="0.25">
      <c r="C178" s="141" t="s">
        <v>203</v>
      </c>
      <c r="D178" s="257">
        <f>VLOOKUP(C178,'Input keuzevariabelen'!$B:$C,2,FALSE)</f>
        <v>4.8000000000000001E-2</v>
      </c>
      <c r="E178" s="137">
        <v>2022</v>
      </c>
      <c r="F178" s="142" t="s">
        <v>13</v>
      </c>
      <c r="G178" s="106">
        <f>VLOOKUP(H178,'Input keuzevariabelen'!$F:$J,2,FALSE)</f>
        <v>1</v>
      </c>
      <c r="H178" s="112" t="s">
        <v>25</v>
      </c>
      <c r="I178" s="335">
        <f>551/2.072</f>
        <v>265.92664092664091</v>
      </c>
      <c r="J178" s="288">
        <f t="shared" si="6"/>
        <v>12.764478764478763</v>
      </c>
      <c r="K178" s="107" t="str">
        <f>VLOOKUP(H178,'Input keuzevariabelen'!$F:$J,3,FALSE)</f>
        <v>liter</v>
      </c>
      <c r="L178" s="107">
        <f>SUMIFS('Input keuzevariabelen'!$I:$I,'Input keuzevariabelen'!$F:$F,Data!H178,'Input keuzevariabelen'!$K:$K,Data!E178)</f>
        <v>2784</v>
      </c>
      <c r="M178" s="107" t="str">
        <f>VLOOKUP(H178,'Input keuzevariabelen'!$F:$J,5,FALSE)</f>
        <v>gram CO2/liter</v>
      </c>
      <c r="N178" s="284">
        <f t="shared" si="7"/>
        <v>3.5536308880308877E-2</v>
      </c>
      <c r="O178" s="115" t="s">
        <v>205</v>
      </c>
      <c r="P178" s="115"/>
      <c r="Q178" s="116" t="s">
        <v>125</v>
      </c>
      <c r="R178" s="107">
        <f>SUMIFS('Input keuzevariabelen'!$P:$P,'Input keuzevariabelen'!$M:$M,Data!H178)</f>
        <v>3.1E-2</v>
      </c>
      <c r="S178" s="291">
        <f t="shared" si="8"/>
        <v>0.39569884169884167</v>
      </c>
    </row>
    <row r="179" spans="3:19" ht="16.5" thickTop="1" thickBot="1" x14ac:dyDescent="0.25">
      <c r="C179" s="141" t="s">
        <v>203</v>
      </c>
      <c r="D179" s="257">
        <f>VLOOKUP(C179,'Input keuzevariabelen'!$B:$C,2,FALSE)</f>
        <v>4.8000000000000001E-2</v>
      </c>
      <c r="E179" s="137">
        <v>2022</v>
      </c>
      <c r="F179" s="142" t="s">
        <v>13</v>
      </c>
      <c r="G179" s="106">
        <f>VLOOKUP(H179,'Input keuzevariabelen'!$F:$J,2,FALSE)</f>
        <v>1</v>
      </c>
      <c r="H179" s="112" t="s">
        <v>23</v>
      </c>
      <c r="I179" s="335">
        <f>1755/1.956</f>
        <v>897.23926380368096</v>
      </c>
      <c r="J179" s="288">
        <f t="shared" si="6"/>
        <v>43.067484662576689</v>
      </c>
      <c r="K179" s="107" t="str">
        <f>VLOOKUP(H179,'Input keuzevariabelen'!$F:$J,3,FALSE)</f>
        <v>liter</v>
      </c>
      <c r="L179" s="107">
        <f>SUMIFS('Input keuzevariabelen'!$I:$I,'Input keuzevariabelen'!$F:$F,Data!H179,'Input keuzevariabelen'!$K:$K,Data!E179)</f>
        <v>3262</v>
      </c>
      <c r="M179" s="107" t="str">
        <f>VLOOKUP(H179,'Input keuzevariabelen'!$F:$J,5,FALSE)</f>
        <v>gram CO2/liter</v>
      </c>
      <c r="N179" s="284">
        <f t="shared" si="7"/>
        <v>0.14048613496932516</v>
      </c>
      <c r="O179" s="115" t="s">
        <v>205</v>
      </c>
      <c r="P179" s="115"/>
      <c r="Q179" s="116" t="s">
        <v>125</v>
      </c>
      <c r="R179" s="107">
        <f>SUMIFS('Input keuzevariabelen'!$P:$P,'Input keuzevariabelen'!$M:$M,Data!H179)</f>
        <v>3.6299999999999999E-2</v>
      </c>
      <c r="S179" s="291">
        <f t="shared" si="8"/>
        <v>1.5633496932515338</v>
      </c>
    </row>
    <row r="180" spans="3:19" ht="16.5" thickTop="1" thickBot="1" x14ac:dyDescent="0.25">
      <c r="C180" s="141" t="s">
        <v>203</v>
      </c>
      <c r="D180" s="257">
        <f>VLOOKUP(C180,'Input keuzevariabelen'!$B:$C,2,FALSE)</f>
        <v>4.8000000000000001E-2</v>
      </c>
      <c r="E180" s="137">
        <v>2022</v>
      </c>
      <c r="F180" s="142" t="s">
        <v>13</v>
      </c>
      <c r="G180" s="106">
        <f>VLOOKUP(H180,'Input keuzevariabelen'!$F:$J,2,FALSE)</f>
        <v>2</v>
      </c>
      <c r="H180" s="112" t="s">
        <v>32</v>
      </c>
      <c r="I180" s="335">
        <v>13686</v>
      </c>
      <c r="J180" s="288">
        <f t="shared" si="6"/>
        <v>656.928</v>
      </c>
      <c r="K180" s="107" t="str">
        <f>VLOOKUP(H180,'Input keuzevariabelen'!$F:$J,3,FALSE)</f>
        <v>kWh</v>
      </c>
      <c r="L180" s="107">
        <f>SUMIFS('Input keuzevariabelen'!$I:$I,'Input keuzevariabelen'!$F:$F,Data!H180,'Input keuzevariabelen'!$K:$K,Data!E180)</f>
        <v>523</v>
      </c>
      <c r="M180" s="107" t="str">
        <f>VLOOKUP(H180,'Input keuzevariabelen'!$F:$J,5,FALSE)</f>
        <v>gram CO2/kWh</v>
      </c>
      <c r="N180" s="284">
        <f t="shared" si="7"/>
        <v>0.343573344</v>
      </c>
      <c r="O180" s="115" t="s">
        <v>205</v>
      </c>
      <c r="P180" s="115"/>
      <c r="Q180" s="116" t="s">
        <v>125</v>
      </c>
      <c r="R180" s="107">
        <f>SUMIFS('Input keuzevariabelen'!$P:$P,'Input keuzevariabelen'!$M:$M,Data!H180)</f>
        <v>5.2199999999999998E-3</v>
      </c>
      <c r="S180" s="291">
        <f t="shared" si="8"/>
        <v>3.42916416</v>
      </c>
    </row>
    <row r="181" spans="3:19" ht="16.5" thickTop="1" thickBot="1" x14ac:dyDescent="0.25">
      <c r="C181" s="141" t="s">
        <v>203</v>
      </c>
      <c r="D181" s="257">
        <f>VLOOKUP(C181,'Input keuzevariabelen'!$B:$C,2,FALSE)</f>
        <v>4.8000000000000001E-2</v>
      </c>
      <c r="E181" s="137">
        <v>2022</v>
      </c>
      <c r="F181" s="142" t="s">
        <v>13</v>
      </c>
      <c r="G181" s="106" t="str">
        <f>VLOOKUP(H181,'Input keuzevariabelen'!$F:$J,2,FALSE)</f>
        <v>bt</v>
      </c>
      <c r="H181" s="112" t="s">
        <v>38</v>
      </c>
      <c r="I181" s="335">
        <v>2417</v>
      </c>
      <c r="J181" s="288">
        <f t="shared" si="6"/>
        <v>116.01600000000001</v>
      </c>
      <c r="K181" s="107" t="str">
        <f>VLOOKUP(H181,'Input keuzevariabelen'!$F:$J,3,FALSE)</f>
        <v>km</v>
      </c>
      <c r="L181" s="107">
        <f>SUMIFS('Input keuzevariabelen'!$I:$I,'Input keuzevariabelen'!$F:$F,Data!H181,'Input keuzevariabelen'!$K:$K,Data!E181)</f>
        <v>193</v>
      </c>
      <c r="M181" s="107" t="str">
        <f>VLOOKUP(H181,'Input keuzevariabelen'!$F:$J,5,FALSE)</f>
        <v>gram CO2/km</v>
      </c>
      <c r="N181" s="284">
        <f t="shared" si="7"/>
        <v>2.2391088E-2</v>
      </c>
      <c r="O181" s="115" t="s">
        <v>205</v>
      </c>
      <c r="P181" s="115"/>
      <c r="Q181" s="116" t="s">
        <v>125</v>
      </c>
      <c r="R181" s="107">
        <f>SUMIFS('Input keuzevariabelen'!$P:$P,'Input keuzevariabelen'!$M:$M,Data!H181)</f>
        <v>0</v>
      </c>
      <c r="S181" s="291">
        <f t="shared" si="8"/>
        <v>0</v>
      </c>
    </row>
    <row r="182" spans="3:19" ht="16.5" thickTop="1" thickBot="1" x14ac:dyDescent="0.25">
      <c r="C182" s="141" t="s">
        <v>203</v>
      </c>
      <c r="D182" s="257">
        <f>VLOOKUP(C182,'Input keuzevariabelen'!$B:$C,2,FALSE)</f>
        <v>4.8000000000000001E-2</v>
      </c>
      <c r="E182" s="137">
        <v>2022</v>
      </c>
      <c r="F182" s="142" t="s">
        <v>13</v>
      </c>
      <c r="G182" s="106" t="str">
        <f>VLOOKUP(H182,'Input keuzevariabelen'!$F:$J,2,FALSE)</f>
        <v>bt</v>
      </c>
      <c r="H182" s="112" t="s">
        <v>40</v>
      </c>
      <c r="I182" s="335">
        <f>227/0.13</f>
        <v>1746.1538461538462</v>
      </c>
      <c r="J182" s="288">
        <f t="shared" si="6"/>
        <v>83.815384615384616</v>
      </c>
      <c r="K182" s="107" t="str">
        <f>VLOOKUP(H182,'Input keuzevariabelen'!$F:$J,3,FALSE)</f>
        <v>km</v>
      </c>
      <c r="L182" s="107">
        <f>SUMIFS('Input keuzevariabelen'!$I:$I,'Input keuzevariabelen'!$F:$F,Data!H182,'Input keuzevariabelen'!$K:$K,Data!E182)</f>
        <v>15</v>
      </c>
      <c r="M182" s="107" t="str">
        <f>VLOOKUP(H182,'Input keuzevariabelen'!$F:$J,5,FALSE)</f>
        <v>gram CO2/km</v>
      </c>
      <c r="N182" s="284">
        <f t="shared" si="7"/>
        <v>1.2572307692307694E-3</v>
      </c>
      <c r="O182" s="115" t="s">
        <v>205</v>
      </c>
      <c r="P182" s="115"/>
      <c r="Q182" s="116" t="s">
        <v>125</v>
      </c>
      <c r="R182" s="107">
        <f>SUMIFS('Input keuzevariabelen'!$P:$P,'Input keuzevariabelen'!$M:$M,Data!H182)</f>
        <v>0</v>
      </c>
      <c r="S182" s="291">
        <f t="shared" si="8"/>
        <v>0</v>
      </c>
    </row>
    <row r="183" spans="3:19" ht="16.5" thickTop="1" thickBot="1" x14ac:dyDescent="0.25">
      <c r="C183" s="141" t="s">
        <v>203</v>
      </c>
      <c r="D183" s="257">
        <f>VLOOKUP(C183,'Input keuzevariabelen'!$B:$C,2,FALSE)</f>
        <v>4.8000000000000001E-2</v>
      </c>
      <c r="E183" s="137">
        <v>2022</v>
      </c>
      <c r="F183" s="142" t="s">
        <v>13</v>
      </c>
      <c r="G183" s="106" t="str">
        <f>VLOOKUP(H183,'Input keuzevariabelen'!$F:$J,2,FALSE)</f>
        <v>bt</v>
      </c>
      <c r="H183" s="112" t="s">
        <v>42</v>
      </c>
      <c r="I183" s="335">
        <v>5188</v>
      </c>
      <c r="J183" s="288">
        <f t="shared" si="6"/>
        <v>249.024</v>
      </c>
      <c r="K183" s="107" t="str">
        <f>VLOOKUP(H183,'Input keuzevariabelen'!$F:$J,3,FALSE)</f>
        <v>km</v>
      </c>
      <c r="L183" s="107">
        <f>SUMIFS('Input keuzevariabelen'!$I:$I,'Input keuzevariabelen'!$F:$F,Data!H183,'Input keuzevariabelen'!$K:$K,Data!E183)</f>
        <v>234</v>
      </c>
      <c r="M183" s="107" t="str">
        <f>VLOOKUP(H183,'Input keuzevariabelen'!$F:$J,5,FALSE)</f>
        <v>gram CO2/km</v>
      </c>
      <c r="N183" s="284">
        <f t="shared" si="7"/>
        <v>5.8271616000000005E-2</v>
      </c>
      <c r="O183" s="115" t="s">
        <v>205</v>
      </c>
      <c r="P183" s="115"/>
      <c r="Q183" s="116" t="s">
        <v>125</v>
      </c>
      <c r="R183" s="107">
        <f>SUMIFS('Input keuzevariabelen'!$P:$P,'Input keuzevariabelen'!$M:$M,Data!H183)</f>
        <v>0</v>
      </c>
      <c r="S183" s="291">
        <f t="shared" si="8"/>
        <v>0</v>
      </c>
    </row>
    <row r="184" spans="3:19" ht="16.5" thickTop="1" thickBot="1" x14ac:dyDescent="0.25">
      <c r="C184" s="141" t="s">
        <v>203</v>
      </c>
      <c r="D184" s="257">
        <f>VLOOKUP(C184,'Input keuzevariabelen'!$B:$C,2,FALSE)</f>
        <v>4.8000000000000001E-2</v>
      </c>
      <c r="E184" s="137">
        <v>2022</v>
      </c>
      <c r="F184" s="142" t="s">
        <v>13</v>
      </c>
      <c r="G184" s="106" t="str">
        <f>VLOOKUP(H184,'Input keuzevariabelen'!$F:$J,2,FALSE)</f>
        <v>bt</v>
      </c>
      <c r="H184" s="112" t="s">
        <v>43</v>
      </c>
      <c r="I184" s="335">
        <v>4363</v>
      </c>
      <c r="J184" s="288">
        <f t="shared" si="6"/>
        <v>209.42400000000001</v>
      </c>
      <c r="K184" s="107" t="str">
        <f>VLOOKUP(H184,'Input keuzevariabelen'!$F:$J,3,FALSE)</f>
        <v>km</v>
      </c>
      <c r="L184" s="107">
        <f>SUMIFS('Input keuzevariabelen'!$I:$I,'Input keuzevariabelen'!$F:$F,Data!H184,'Input keuzevariabelen'!$K:$K,Data!E184)</f>
        <v>172</v>
      </c>
      <c r="M184" s="107" t="str">
        <f>VLOOKUP(H184,'Input keuzevariabelen'!$F:$J,5,FALSE)</f>
        <v>gram CO2/km</v>
      </c>
      <c r="N184" s="284">
        <f t="shared" si="7"/>
        <v>3.6020928000000001E-2</v>
      </c>
      <c r="O184" s="115" t="s">
        <v>205</v>
      </c>
      <c r="P184" s="115"/>
      <c r="Q184" s="116" t="s">
        <v>125</v>
      </c>
      <c r="R184" s="107">
        <f>SUMIFS('Input keuzevariabelen'!$P:$P,'Input keuzevariabelen'!$M:$M,Data!H184)</f>
        <v>0</v>
      </c>
      <c r="S184" s="291">
        <f t="shared" si="8"/>
        <v>0</v>
      </c>
    </row>
    <row r="185" spans="3:19" ht="16.5" thickTop="1" thickBot="1" x14ac:dyDescent="0.25">
      <c r="C185" s="141"/>
      <c r="D185" s="257" t="e">
        <f>VLOOKUP(C185,'Input keuzevariabelen'!$B:$C,2,FALSE)</f>
        <v>#N/A</v>
      </c>
      <c r="E185" s="137"/>
      <c r="F185" s="142"/>
      <c r="G185" s="106" t="e">
        <f>VLOOKUP(H185,'Input keuzevariabelen'!$F:$J,2,FALSE)</f>
        <v>#N/A</v>
      </c>
      <c r="H185" s="112"/>
      <c r="I185" s="332"/>
      <c r="J185" s="288" t="e">
        <f t="shared" si="6"/>
        <v>#N/A</v>
      </c>
      <c r="K185" s="107" t="e">
        <f>VLOOKUP(H185,'Input keuzevariabelen'!$F:$J,3,FALSE)</f>
        <v>#N/A</v>
      </c>
      <c r="L185" s="107">
        <f>SUMIFS('Input keuzevariabelen'!$I:$I,'Input keuzevariabelen'!$F:$F,Data!H185,'Input keuzevariabelen'!$K:$K,Data!E185)</f>
        <v>0</v>
      </c>
      <c r="M185" s="107" t="e">
        <f>VLOOKUP(H185,'Input keuzevariabelen'!$F:$J,5,FALSE)</f>
        <v>#N/A</v>
      </c>
      <c r="N185" s="284" t="e">
        <f t="shared" si="7"/>
        <v>#N/A</v>
      </c>
      <c r="O185" s="115"/>
      <c r="P185" s="115"/>
      <c r="Q185" s="116"/>
      <c r="R185" s="107">
        <f>SUMIFS('Input keuzevariabelen'!$P:$P,'Input keuzevariabelen'!$M:$M,Data!H185)</f>
        <v>0</v>
      </c>
      <c r="S185" s="291" t="e">
        <f t="shared" si="8"/>
        <v>#N/A</v>
      </c>
    </row>
    <row r="186" spans="3:19" ht="16.5" thickTop="1" thickBot="1" x14ac:dyDescent="0.25">
      <c r="C186" s="141"/>
      <c r="D186" s="257" t="e">
        <f>VLOOKUP(C186,'Input keuzevariabelen'!$B:$C,2,FALSE)</f>
        <v>#N/A</v>
      </c>
      <c r="E186" s="137"/>
      <c r="F186" s="142"/>
      <c r="G186" s="106" t="e">
        <f>VLOOKUP(H186,'Input keuzevariabelen'!$F:$J,2,FALSE)</f>
        <v>#N/A</v>
      </c>
      <c r="H186" s="112"/>
      <c r="I186" s="332"/>
      <c r="J186" s="288" t="e">
        <f t="shared" si="6"/>
        <v>#N/A</v>
      </c>
      <c r="K186" s="107" t="e">
        <f>VLOOKUP(H186,'Input keuzevariabelen'!$F:$J,3,FALSE)</f>
        <v>#N/A</v>
      </c>
      <c r="L186" s="107">
        <f>SUMIFS('Input keuzevariabelen'!$I:$I,'Input keuzevariabelen'!$F:$F,Data!H186,'Input keuzevariabelen'!$K:$K,Data!E186)</f>
        <v>0</v>
      </c>
      <c r="M186" s="107" t="e">
        <f>VLOOKUP(H186,'Input keuzevariabelen'!$F:$J,5,FALSE)</f>
        <v>#N/A</v>
      </c>
      <c r="N186" s="284" t="e">
        <f t="shared" si="7"/>
        <v>#N/A</v>
      </c>
      <c r="O186" s="115"/>
      <c r="P186" s="115"/>
      <c r="Q186" s="116"/>
      <c r="R186" s="107">
        <f>SUMIFS('Input keuzevariabelen'!$P:$P,'Input keuzevariabelen'!$M:$M,Data!H186)</f>
        <v>0</v>
      </c>
      <c r="S186" s="291" t="e">
        <f t="shared" si="8"/>
        <v>#N/A</v>
      </c>
    </row>
    <row r="187" spans="3:19" ht="16.5" thickTop="1" thickBot="1" x14ac:dyDescent="0.25">
      <c r="C187" s="141"/>
      <c r="D187" s="257" t="e">
        <f>VLOOKUP(C187,'Input keuzevariabelen'!$B:$C,2,FALSE)</f>
        <v>#N/A</v>
      </c>
      <c r="E187" s="137"/>
      <c r="F187" s="142"/>
      <c r="G187" s="106" t="e">
        <f>VLOOKUP(H187,'Input keuzevariabelen'!$F:$J,2,FALSE)</f>
        <v>#N/A</v>
      </c>
      <c r="H187" s="112"/>
      <c r="I187" s="332"/>
      <c r="J187" s="288" t="e">
        <f t="shared" si="6"/>
        <v>#N/A</v>
      </c>
      <c r="K187" s="107" t="e">
        <f>VLOOKUP(H187,'Input keuzevariabelen'!$F:$J,3,FALSE)</f>
        <v>#N/A</v>
      </c>
      <c r="L187" s="107">
        <f>SUMIFS('Input keuzevariabelen'!$I:$I,'Input keuzevariabelen'!$F:$F,Data!H187,'Input keuzevariabelen'!$K:$K,Data!E187)</f>
        <v>0</v>
      </c>
      <c r="M187" s="107" t="e">
        <f>VLOOKUP(H187,'Input keuzevariabelen'!$F:$J,5,FALSE)</f>
        <v>#N/A</v>
      </c>
      <c r="N187" s="284" t="e">
        <f t="shared" si="7"/>
        <v>#N/A</v>
      </c>
      <c r="O187" s="115"/>
      <c r="P187" s="115"/>
      <c r="Q187" s="116"/>
      <c r="R187" s="107">
        <f>SUMIFS('Input keuzevariabelen'!$P:$P,'Input keuzevariabelen'!$M:$M,Data!H187)</f>
        <v>0</v>
      </c>
      <c r="S187" s="291" t="e">
        <f t="shared" si="8"/>
        <v>#N/A</v>
      </c>
    </row>
    <row r="188" spans="3:19" ht="16.5" thickTop="1" thickBot="1" x14ac:dyDescent="0.25">
      <c r="C188" s="141"/>
      <c r="D188" s="257" t="e">
        <f>VLOOKUP(C188,'Input keuzevariabelen'!$B:$C,2,FALSE)</f>
        <v>#N/A</v>
      </c>
      <c r="E188" s="137"/>
      <c r="F188" s="142"/>
      <c r="G188" s="106" t="e">
        <f>VLOOKUP(H188,'Input keuzevariabelen'!$F:$J,2,FALSE)</f>
        <v>#N/A</v>
      </c>
      <c r="H188" s="112"/>
      <c r="I188" s="332"/>
      <c r="J188" s="288" t="e">
        <f t="shared" si="6"/>
        <v>#N/A</v>
      </c>
      <c r="K188" s="107" t="e">
        <f>VLOOKUP(H188,'Input keuzevariabelen'!$F:$J,3,FALSE)</f>
        <v>#N/A</v>
      </c>
      <c r="L188" s="107">
        <f>SUMIFS('Input keuzevariabelen'!$I:$I,'Input keuzevariabelen'!$F:$F,Data!H188,'Input keuzevariabelen'!$K:$K,Data!E188)</f>
        <v>0</v>
      </c>
      <c r="M188" s="107" t="e">
        <f>VLOOKUP(H188,'Input keuzevariabelen'!$F:$J,5,FALSE)</f>
        <v>#N/A</v>
      </c>
      <c r="N188" s="284" t="e">
        <f t="shared" si="7"/>
        <v>#N/A</v>
      </c>
      <c r="O188" s="115"/>
      <c r="P188" s="115"/>
      <c r="Q188" s="116"/>
      <c r="R188" s="107">
        <f>SUMIFS('Input keuzevariabelen'!$P:$P,'Input keuzevariabelen'!$M:$M,Data!H188)</f>
        <v>0</v>
      </c>
      <c r="S188" s="291" t="e">
        <f t="shared" si="8"/>
        <v>#N/A</v>
      </c>
    </row>
    <row r="189" spans="3:19" ht="16.5" thickTop="1" thickBot="1" x14ac:dyDescent="0.25">
      <c r="C189" s="141"/>
      <c r="D189" s="257" t="e">
        <f>VLOOKUP(C189,'Input keuzevariabelen'!$B:$C,2,FALSE)</f>
        <v>#N/A</v>
      </c>
      <c r="E189" s="137"/>
      <c r="F189" s="142"/>
      <c r="G189" s="106" t="e">
        <f>VLOOKUP(H189,'Input keuzevariabelen'!$F:$J,2,FALSE)</f>
        <v>#N/A</v>
      </c>
      <c r="H189" s="112"/>
      <c r="I189" s="332"/>
      <c r="J189" s="288" t="e">
        <f t="shared" si="6"/>
        <v>#N/A</v>
      </c>
      <c r="K189" s="107" t="e">
        <f>VLOOKUP(H189,'Input keuzevariabelen'!$F:$J,3,FALSE)</f>
        <v>#N/A</v>
      </c>
      <c r="L189" s="107">
        <f>SUMIFS('Input keuzevariabelen'!$I:$I,'Input keuzevariabelen'!$F:$F,Data!H189,'Input keuzevariabelen'!$K:$K,Data!E189)</f>
        <v>0</v>
      </c>
      <c r="M189" s="107" t="e">
        <f>VLOOKUP(H189,'Input keuzevariabelen'!$F:$J,5,FALSE)</f>
        <v>#N/A</v>
      </c>
      <c r="N189" s="284" t="e">
        <f t="shared" si="7"/>
        <v>#N/A</v>
      </c>
      <c r="O189" s="115"/>
      <c r="P189" s="115"/>
      <c r="Q189" s="116"/>
      <c r="R189" s="107">
        <f>SUMIFS('Input keuzevariabelen'!$P:$P,'Input keuzevariabelen'!$M:$M,Data!H189)</f>
        <v>0</v>
      </c>
      <c r="S189" s="291" t="e">
        <f t="shared" si="8"/>
        <v>#N/A</v>
      </c>
    </row>
    <row r="190" spans="3:19" ht="16.5" thickTop="1" thickBot="1" x14ac:dyDescent="0.25">
      <c r="C190" s="141"/>
      <c r="D190" s="257" t="e">
        <f>VLOOKUP(C190,'Input keuzevariabelen'!$B:$C,2,FALSE)</f>
        <v>#N/A</v>
      </c>
      <c r="E190" s="137"/>
      <c r="F190" s="142"/>
      <c r="G190" s="106" t="e">
        <f>VLOOKUP(H190,'Input keuzevariabelen'!$F:$J,2,FALSE)</f>
        <v>#N/A</v>
      </c>
      <c r="H190" s="112"/>
      <c r="I190" s="332"/>
      <c r="J190" s="288" t="e">
        <f t="shared" si="6"/>
        <v>#N/A</v>
      </c>
      <c r="K190" s="107" t="e">
        <f>VLOOKUP(H190,'Input keuzevariabelen'!$F:$J,3,FALSE)</f>
        <v>#N/A</v>
      </c>
      <c r="L190" s="107">
        <f>SUMIFS('Input keuzevariabelen'!$I:$I,'Input keuzevariabelen'!$F:$F,Data!H190,'Input keuzevariabelen'!$K:$K,Data!E190)</f>
        <v>0</v>
      </c>
      <c r="M190" s="107" t="e">
        <f>VLOOKUP(H190,'Input keuzevariabelen'!$F:$J,5,FALSE)</f>
        <v>#N/A</v>
      </c>
      <c r="N190" s="284" t="e">
        <f t="shared" si="7"/>
        <v>#N/A</v>
      </c>
      <c r="O190" s="115"/>
      <c r="P190" s="115"/>
      <c r="Q190" s="116"/>
      <c r="R190" s="107">
        <f>SUMIFS('Input keuzevariabelen'!$P:$P,'Input keuzevariabelen'!$M:$M,Data!H190)</f>
        <v>0</v>
      </c>
      <c r="S190" s="291" t="e">
        <f t="shared" si="8"/>
        <v>#N/A</v>
      </c>
    </row>
    <row r="191" spans="3:19" ht="16.5" thickTop="1" thickBot="1" x14ac:dyDescent="0.25">
      <c r="C191" s="141"/>
      <c r="D191" s="257" t="e">
        <f>VLOOKUP(C191,'Input keuzevariabelen'!$B:$C,2,FALSE)</f>
        <v>#N/A</v>
      </c>
      <c r="E191" s="137"/>
      <c r="F191" s="142"/>
      <c r="G191" s="106" t="e">
        <f>VLOOKUP(H191,'Input keuzevariabelen'!$F:$J,2,FALSE)</f>
        <v>#N/A</v>
      </c>
      <c r="H191" s="112"/>
      <c r="I191" s="332"/>
      <c r="J191" s="288" t="e">
        <f t="shared" si="6"/>
        <v>#N/A</v>
      </c>
      <c r="K191" s="107" t="e">
        <f>VLOOKUP(H191,'Input keuzevariabelen'!$F:$J,3,FALSE)</f>
        <v>#N/A</v>
      </c>
      <c r="L191" s="107">
        <f>SUMIFS('Input keuzevariabelen'!$I:$I,'Input keuzevariabelen'!$F:$F,Data!H191,'Input keuzevariabelen'!$K:$K,Data!E191)</f>
        <v>0</v>
      </c>
      <c r="M191" s="107" t="e">
        <f>VLOOKUP(H191,'Input keuzevariabelen'!$F:$J,5,FALSE)</f>
        <v>#N/A</v>
      </c>
      <c r="N191" s="284" t="e">
        <f t="shared" si="7"/>
        <v>#N/A</v>
      </c>
      <c r="O191" s="115"/>
      <c r="P191" s="115"/>
      <c r="Q191" s="116"/>
      <c r="R191" s="107">
        <f>SUMIFS('Input keuzevariabelen'!$P:$P,'Input keuzevariabelen'!$M:$M,Data!H191)</f>
        <v>0</v>
      </c>
      <c r="S191" s="291" t="e">
        <f t="shared" si="8"/>
        <v>#N/A</v>
      </c>
    </row>
    <row r="192" spans="3:19" ht="16.5" thickTop="1" thickBot="1" x14ac:dyDescent="0.25">
      <c r="C192" s="141"/>
      <c r="D192" s="257" t="e">
        <f>VLOOKUP(C192,'Input keuzevariabelen'!$B:$C,2,FALSE)</f>
        <v>#N/A</v>
      </c>
      <c r="E192" s="137"/>
      <c r="F192" s="142"/>
      <c r="G192" s="106" t="e">
        <f>VLOOKUP(H192,'Input keuzevariabelen'!$F:$J,2,FALSE)</f>
        <v>#N/A</v>
      </c>
      <c r="H192" s="112"/>
      <c r="I192" s="332"/>
      <c r="J192" s="288" t="e">
        <f t="shared" si="6"/>
        <v>#N/A</v>
      </c>
      <c r="K192" s="107" t="e">
        <f>VLOOKUP(H192,'Input keuzevariabelen'!$F:$J,3,FALSE)</f>
        <v>#N/A</v>
      </c>
      <c r="L192" s="107">
        <f>SUMIFS('Input keuzevariabelen'!$I:$I,'Input keuzevariabelen'!$F:$F,Data!H192,'Input keuzevariabelen'!$K:$K,Data!E192)</f>
        <v>0</v>
      </c>
      <c r="M192" s="107" t="e">
        <f>VLOOKUP(H192,'Input keuzevariabelen'!$F:$J,5,FALSE)</f>
        <v>#N/A</v>
      </c>
      <c r="N192" s="284" t="e">
        <f t="shared" si="7"/>
        <v>#N/A</v>
      </c>
      <c r="O192" s="115"/>
      <c r="P192" s="115"/>
      <c r="Q192" s="116"/>
      <c r="R192" s="107">
        <f>SUMIFS('Input keuzevariabelen'!$P:$P,'Input keuzevariabelen'!$M:$M,Data!H192)</f>
        <v>0</v>
      </c>
      <c r="S192" s="291" t="e">
        <f t="shared" si="8"/>
        <v>#N/A</v>
      </c>
    </row>
    <row r="193" spans="3:19" ht="16.5" thickTop="1" thickBot="1" x14ac:dyDescent="0.25">
      <c r="C193" s="141"/>
      <c r="D193" s="257" t="e">
        <f>VLOOKUP(C193,'Input keuzevariabelen'!$B:$C,2,FALSE)</f>
        <v>#N/A</v>
      </c>
      <c r="E193" s="137"/>
      <c r="F193" s="142"/>
      <c r="G193" s="106" t="e">
        <f>VLOOKUP(H193,'Input keuzevariabelen'!$F:$J,2,FALSE)</f>
        <v>#N/A</v>
      </c>
      <c r="H193" s="112"/>
      <c r="I193" s="332"/>
      <c r="J193" s="288" t="e">
        <f t="shared" si="6"/>
        <v>#N/A</v>
      </c>
      <c r="K193" s="107" t="e">
        <f>VLOOKUP(H193,'Input keuzevariabelen'!$F:$J,3,FALSE)</f>
        <v>#N/A</v>
      </c>
      <c r="L193" s="107">
        <f>SUMIFS('Input keuzevariabelen'!$I:$I,'Input keuzevariabelen'!$F:$F,Data!H193,'Input keuzevariabelen'!$K:$K,Data!E193)</f>
        <v>0</v>
      </c>
      <c r="M193" s="107" t="e">
        <f>VLOOKUP(H193,'Input keuzevariabelen'!$F:$J,5,FALSE)</f>
        <v>#N/A</v>
      </c>
      <c r="N193" s="284" t="e">
        <f t="shared" si="7"/>
        <v>#N/A</v>
      </c>
      <c r="O193" s="115"/>
      <c r="P193" s="115"/>
      <c r="Q193" s="116"/>
      <c r="R193" s="107">
        <f>SUMIFS('Input keuzevariabelen'!$P:$P,'Input keuzevariabelen'!$M:$M,Data!H193)</f>
        <v>0</v>
      </c>
      <c r="S193" s="291" t="e">
        <f t="shared" si="8"/>
        <v>#N/A</v>
      </c>
    </row>
    <row r="194" spans="3:19" ht="16.5" thickTop="1" thickBot="1" x14ac:dyDescent="0.25">
      <c r="C194" s="141"/>
      <c r="D194" s="257" t="e">
        <f>VLOOKUP(C194,'Input keuzevariabelen'!$B:$C,2,FALSE)</f>
        <v>#N/A</v>
      </c>
      <c r="E194" s="137"/>
      <c r="F194" s="142"/>
      <c r="G194" s="106" t="e">
        <f>VLOOKUP(H194,'Input keuzevariabelen'!$F:$J,2,FALSE)</f>
        <v>#N/A</v>
      </c>
      <c r="H194" s="112"/>
      <c r="I194" s="332"/>
      <c r="J194" s="288" t="e">
        <f t="shared" si="6"/>
        <v>#N/A</v>
      </c>
      <c r="K194" s="107" t="e">
        <f>VLOOKUP(H194,'Input keuzevariabelen'!$F:$J,3,FALSE)</f>
        <v>#N/A</v>
      </c>
      <c r="L194" s="107">
        <f>SUMIFS('Input keuzevariabelen'!$I:$I,'Input keuzevariabelen'!$F:$F,Data!H194,'Input keuzevariabelen'!$K:$K,Data!E194)</f>
        <v>0</v>
      </c>
      <c r="M194" s="107" t="e">
        <f>VLOOKUP(H194,'Input keuzevariabelen'!$F:$J,5,FALSE)</f>
        <v>#N/A</v>
      </c>
      <c r="N194" s="284" t="e">
        <f t="shared" si="7"/>
        <v>#N/A</v>
      </c>
      <c r="O194" s="115"/>
      <c r="P194" s="115"/>
      <c r="Q194" s="116"/>
      <c r="R194" s="107">
        <f>SUMIFS('Input keuzevariabelen'!$P:$P,'Input keuzevariabelen'!$M:$M,Data!H194)</f>
        <v>0</v>
      </c>
      <c r="S194" s="291" t="e">
        <f t="shared" si="8"/>
        <v>#N/A</v>
      </c>
    </row>
    <row r="195" spans="3:19" ht="16.5" thickTop="1" thickBot="1" x14ac:dyDescent="0.25">
      <c r="C195" s="141"/>
      <c r="D195" s="257" t="e">
        <f>VLOOKUP(C195,'Input keuzevariabelen'!$B:$C,2,FALSE)</f>
        <v>#N/A</v>
      </c>
      <c r="E195" s="137"/>
      <c r="F195" s="142"/>
      <c r="G195" s="106" t="e">
        <f>VLOOKUP(H195,'Input keuzevariabelen'!$F:$J,2,FALSE)</f>
        <v>#N/A</v>
      </c>
      <c r="H195" s="112"/>
      <c r="I195" s="332"/>
      <c r="J195" s="288" t="e">
        <f t="shared" ref="J195:J258" si="9">I195*D195</f>
        <v>#N/A</v>
      </c>
      <c r="K195" s="107" t="e">
        <f>VLOOKUP(H195,'Input keuzevariabelen'!$F:$J,3,FALSE)</f>
        <v>#N/A</v>
      </c>
      <c r="L195" s="107">
        <f>SUMIFS('Input keuzevariabelen'!$I:$I,'Input keuzevariabelen'!$F:$F,Data!H195,'Input keuzevariabelen'!$K:$K,Data!E195)</f>
        <v>0</v>
      </c>
      <c r="M195" s="107" t="e">
        <f>VLOOKUP(H195,'Input keuzevariabelen'!$F:$J,5,FALSE)</f>
        <v>#N/A</v>
      </c>
      <c r="N195" s="284" t="e">
        <f t="shared" ref="N195:N258" si="10">J195*L195/1000000</f>
        <v>#N/A</v>
      </c>
      <c r="O195" s="115"/>
      <c r="P195" s="115"/>
      <c r="Q195" s="116"/>
      <c r="R195" s="107">
        <f>SUMIFS('Input keuzevariabelen'!$P:$P,'Input keuzevariabelen'!$M:$M,Data!H195)</f>
        <v>0</v>
      </c>
      <c r="S195" s="291" t="e">
        <f t="shared" ref="S195:S258" si="11">J195*R195</f>
        <v>#N/A</v>
      </c>
    </row>
    <row r="196" spans="3:19" ht="16.5" thickTop="1" thickBot="1" x14ac:dyDescent="0.25">
      <c r="C196" s="141"/>
      <c r="D196" s="257" t="e">
        <f>VLOOKUP(C196,'Input keuzevariabelen'!$B:$C,2,FALSE)</f>
        <v>#N/A</v>
      </c>
      <c r="E196" s="137"/>
      <c r="F196" s="142"/>
      <c r="G196" s="106" t="e">
        <f>VLOOKUP(H196,'Input keuzevariabelen'!$F:$J,2,FALSE)</f>
        <v>#N/A</v>
      </c>
      <c r="H196" s="112"/>
      <c r="I196" s="332"/>
      <c r="J196" s="288" t="e">
        <f t="shared" si="9"/>
        <v>#N/A</v>
      </c>
      <c r="K196" s="107" t="e">
        <f>VLOOKUP(H196,'Input keuzevariabelen'!$F:$J,3,FALSE)</f>
        <v>#N/A</v>
      </c>
      <c r="L196" s="107">
        <f>SUMIFS('Input keuzevariabelen'!$I:$I,'Input keuzevariabelen'!$F:$F,Data!H196,'Input keuzevariabelen'!$K:$K,Data!E196)</f>
        <v>0</v>
      </c>
      <c r="M196" s="107" t="e">
        <f>VLOOKUP(H196,'Input keuzevariabelen'!$F:$J,5,FALSE)</f>
        <v>#N/A</v>
      </c>
      <c r="N196" s="284" t="e">
        <f t="shared" si="10"/>
        <v>#N/A</v>
      </c>
      <c r="O196" s="115"/>
      <c r="P196" s="115"/>
      <c r="Q196" s="116"/>
      <c r="R196" s="107">
        <f>SUMIFS('Input keuzevariabelen'!$P:$P,'Input keuzevariabelen'!$M:$M,Data!H196)</f>
        <v>0</v>
      </c>
      <c r="S196" s="291" t="e">
        <f t="shared" si="11"/>
        <v>#N/A</v>
      </c>
    </row>
    <row r="197" spans="3:19" ht="16.5" thickTop="1" thickBot="1" x14ac:dyDescent="0.25">
      <c r="C197" s="141"/>
      <c r="D197" s="257" t="e">
        <f>VLOOKUP(C197,'Input keuzevariabelen'!$B:$C,2,FALSE)</f>
        <v>#N/A</v>
      </c>
      <c r="E197" s="137"/>
      <c r="F197" s="142"/>
      <c r="G197" s="106" t="e">
        <f>VLOOKUP(H197,'Input keuzevariabelen'!$F:$J,2,FALSE)</f>
        <v>#N/A</v>
      </c>
      <c r="H197" s="112"/>
      <c r="I197" s="332"/>
      <c r="J197" s="288" t="e">
        <f t="shared" si="9"/>
        <v>#N/A</v>
      </c>
      <c r="K197" s="107" t="e">
        <f>VLOOKUP(H197,'Input keuzevariabelen'!$F:$J,3,FALSE)</f>
        <v>#N/A</v>
      </c>
      <c r="L197" s="107">
        <f>SUMIFS('Input keuzevariabelen'!$I:$I,'Input keuzevariabelen'!$F:$F,Data!H197,'Input keuzevariabelen'!$K:$K,Data!E197)</f>
        <v>0</v>
      </c>
      <c r="M197" s="107" t="e">
        <f>VLOOKUP(H197,'Input keuzevariabelen'!$F:$J,5,FALSE)</f>
        <v>#N/A</v>
      </c>
      <c r="N197" s="284" t="e">
        <f t="shared" si="10"/>
        <v>#N/A</v>
      </c>
      <c r="O197" s="115"/>
      <c r="P197" s="115"/>
      <c r="Q197" s="116"/>
      <c r="R197" s="107">
        <f>SUMIFS('Input keuzevariabelen'!$P:$P,'Input keuzevariabelen'!$M:$M,Data!H197)</f>
        <v>0</v>
      </c>
      <c r="S197" s="291" t="e">
        <f t="shared" si="11"/>
        <v>#N/A</v>
      </c>
    </row>
    <row r="198" spans="3:19" ht="16.5" thickTop="1" thickBot="1" x14ac:dyDescent="0.25">
      <c r="C198" s="141"/>
      <c r="D198" s="257" t="e">
        <f>VLOOKUP(C198,'Input keuzevariabelen'!$B:$C,2,FALSE)</f>
        <v>#N/A</v>
      </c>
      <c r="E198" s="137"/>
      <c r="F198" s="142"/>
      <c r="G198" s="106" t="e">
        <f>VLOOKUP(H198,'Input keuzevariabelen'!$F:$J,2,FALSE)</f>
        <v>#N/A</v>
      </c>
      <c r="H198" s="112"/>
      <c r="I198" s="332"/>
      <c r="J198" s="288" t="e">
        <f t="shared" si="9"/>
        <v>#N/A</v>
      </c>
      <c r="K198" s="107" t="e">
        <f>VLOOKUP(H198,'Input keuzevariabelen'!$F:$J,3,FALSE)</f>
        <v>#N/A</v>
      </c>
      <c r="L198" s="107">
        <f>SUMIFS('Input keuzevariabelen'!$I:$I,'Input keuzevariabelen'!$F:$F,Data!H198,'Input keuzevariabelen'!$K:$K,Data!E198)</f>
        <v>0</v>
      </c>
      <c r="M198" s="107" t="e">
        <f>VLOOKUP(H198,'Input keuzevariabelen'!$F:$J,5,FALSE)</f>
        <v>#N/A</v>
      </c>
      <c r="N198" s="284" t="e">
        <f t="shared" si="10"/>
        <v>#N/A</v>
      </c>
      <c r="O198" s="115"/>
      <c r="P198" s="115"/>
      <c r="Q198" s="116"/>
      <c r="R198" s="107">
        <f>SUMIFS('Input keuzevariabelen'!$P:$P,'Input keuzevariabelen'!$M:$M,Data!H198)</f>
        <v>0</v>
      </c>
      <c r="S198" s="291" t="e">
        <f t="shared" si="11"/>
        <v>#N/A</v>
      </c>
    </row>
    <row r="199" spans="3:19" ht="16.5" thickTop="1" thickBot="1" x14ac:dyDescent="0.25">
      <c r="C199" s="141"/>
      <c r="D199" s="257" t="e">
        <f>VLOOKUP(C199,'Input keuzevariabelen'!$B:$C,2,FALSE)</f>
        <v>#N/A</v>
      </c>
      <c r="E199" s="137"/>
      <c r="F199" s="142"/>
      <c r="G199" s="106" t="e">
        <f>VLOOKUP(H199,'Input keuzevariabelen'!$F:$J,2,FALSE)</f>
        <v>#N/A</v>
      </c>
      <c r="H199" s="112"/>
      <c r="I199" s="332"/>
      <c r="J199" s="288" t="e">
        <f t="shared" si="9"/>
        <v>#N/A</v>
      </c>
      <c r="K199" s="107" t="e">
        <f>VLOOKUP(H199,'Input keuzevariabelen'!$F:$J,3,FALSE)</f>
        <v>#N/A</v>
      </c>
      <c r="L199" s="107">
        <f>SUMIFS('Input keuzevariabelen'!$I:$I,'Input keuzevariabelen'!$F:$F,Data!H199,'Input keuzevariabelen'!$K:$K,Data!E199)</f>
        <v>0</v>
      </c>
      <c r="M199" s="107" t="e">
        <f>VLOOKUP(H199,'Input keuzevariabelen'!$F:$J,5,FALSE)</f>
        <v>#N/A</v>
      </c>
      <c r="N199" s="284" t="e">
        <f t="shared" si="10"/>
        <v>#N/A</v>
      </c>
      <c r="O199" s="115"/>
      <c r="P199" s="115"/>
      <c r="Q199" s="116"/>
      <c r="R199" s="107">
        <f>SUMIFS('Input keuzevariabelen'!$P:$P,'Input keuzevariabelen'!$M:$M,Data!H199)</f>
        <v>0</v>
      </c>
      <c r="S199" s="291" t="e">
        <f t="shared" si="11"/>
        <v>#N/A</v>
      </c>
    </row>
    <row r="200" spans="3:19" ht="16.5" thickTop="1" thickBot="1" x14ac:dyDescent="0.25">
      <c r="C200" s="141"/>
      <c r="D200" s="257" t="e">
        <f>VLOOKUP(C200,'Input keuzevariabelen'!$B:$C,2,FALSE)</f>
        <v>#N/A</v>
      </c>
      <c r="E200" s="137"/>
      <c r="F200" s="142"/>
      <c r="G200" s="106" t="e">
        <f>VLOOKUP(H200,'Input keuzevariabelen'!$F:$J,2,FALSE)</f>
        <v>#N/A</v>
      </c>
      <c r="H200" s="112"/>
      <c r="I200" s="332"/>
      <c r="J200" s="288" t="e">
        <f t="shared" si="9"/>
        <v>#N/A</v>
      </c>
      <c r="K200" s="107" t="e">
        <f>VLOOKUP(H200,'Input keuzevariabelen'!$F:$J,3,FALSE)</f>
        <v>#N/A</v>
      </c>
      <c r="L200" s="107">
        <f>SUMIFS('Input keuzevariabelen'!$I:$I,'Input keuzevariabelen'!$F:$F,Data!H200,'Input keuzevariabelen'!$K:$K,Data!E200)</f>
        <v>0</v>
      </c>
      <c r="M200" s="107" t="e">
        <f>VLOOKUP(H200,'Input keuzevariabelen'!$F:$J,5,FALSE)</f>
        <v>#N/A</v>
      </c>
      <c r="N200" s="284" t="e">
        <f t="shared" si="10"/>
        <v>#N/A</v>
      </c>
      <c r="O200" s="115"/>
      <c r="P200" s="115"/>
      <c r="Q200" s="116"/>
      <c r="R200" s="107">
        <f>SUMIFS('Input keuzevariabelen'!$P:$P,'Input keuzevariabelen'!$M:$M,Data!H200)</f>
        <v>0</v>
      </c>
      <c r="S200" s="291" t="e">
        <f t="shared" si="11"/>
        <v>#N/A</v>
      </c>
    </row>
    <row r="201" spans="3:19" ht="16.5" thickTop="1" thickBot="1" x14ac:dyDescent="0.25">
      <c r="C201" s="141"/>
      <c r="D201" s="257" t="e">
        <f>VLOOKUP(C201,'Input keuzevariabelen'!$B:$C,2,FALSE)</f>
        <v>#N/A</v>
      </c>
      <c r="E201" s="137"/>
      <c r="F201" s="142"/>
      <c r="G201" s="106" t="e">
        <f>VLOOKUP(H201,'Input keuzevariabelen'!$F:$J,2,FALSE)</f>
        <v>#N/A</v>
      </c>
      <c r="H201" s="112"/>
      <c r="I201" s="332"/>
      <c r="J201" s="288" t="e">
        <f t="shared" si="9"/>
        <v>#N/A</v>
      </c>
      <c r="K201" s="107" t="e">
        <f>VLOOKUP(H201,'Input keuzevariabelen'!$F:$J,3,FALSE)</f>
        <v>#N/A</v>
      </c>
      <c r="L201" s="107">
        <f>SUMIFS('Input keuzevariabelen'!$I:$I,'Input keuzevariabelen'!$F:$F,Data!H201,'Input keuzevariabelen'!$K:$K,Data!E201)</f>
        <v>0</v>
      </c>
      <c r="M201" s="107" t="e">
        <f>VLOOKUP(H201,'Input keuzevariabelen'!$F:$J,5,FALSE)</f>
        <v>#N/A</v>
      </c>
      <c r="N201" s="284" t="e">
        <f t="shared" si="10"/>
        <v>#N/A</v>
      </c>
      <c r="O201" s="115"/>
      <c r="P201" s="115"/>
      <c r="Q201" s="116"/>
      <c r="R201" s="107">
        <f>SUMIFS('Input keuzevariabelen'!$P:$P,'Input keuzevariabelen'!$M:$M,Data!H201)</f>
        <v>0</v>
      </c>
      <c r="S201" s="291" t="e">
        <f t="shared" si="11"/>
        <v>#N/A</v>
      </c>
    </row>
    <row r="202" spans="3:19" ht="16.5" thickTop="1" thickBot="1" x14ac:dyDescent="0.25">
      <c r="C202" s="141"/>
      <c r="D202" s="257" t="e">
        <f>VLOOKUP(C202,'Input keuzevariabelen'!$B:$C,2,FALSE)</f>
        <v>#N/A</v>
      </c>
      <c r="E202" s="137"/>
      <c r="F202" s="142"/>
      <c r="G202" s="106" t="e">
        <f>VLOOKUP(H202,'Input keuzevariabelen'!$F:$J,2,FALSE)</f>
        <v>#N/A</v>
      </c>
      <c r="H202" s="112"/>
      <c r="I202" s="332"/>
      <c r="J202" s="288" t="e">
        <f t="shared" si="9"/>
        <v>#N/A</v>
      </c>
      <c r="K202" s="107" t="e">
        <f>VLOOKUP(H202,'Input keuzevariabelen'!$F:$J,3,FALSE)</f>
        <v>#N/A</v>
      </c>
      <c r="L202" s="107">
        <f>SUMIFS('Input keuzevariabelen'!$I:$I,'Input keuzevariabelen'!$F:$F,Data!H202,'Input keuzevariabelen'!$K:$K,Data!E202)</f>
        <v>0</v>
      </c>
      <c r="M202" s="107" t="e">
        <f>VLOOKUP(H202,'Input keuzevariabelen'!$F:$J,5,FALSE)</f>
        <v>#N/A</v>
      </c>
      <c r="N202" s="284" t="e">
        <f t="shared" si="10"/>
        <v>#N/A</v>
      </c>
      <c r="O202" s="115"/>
      <c r="P202" s="115"/>
      <c r="Q202" s="116"/>
      <c r="R202" s="107">
        <f>SUMIFS('Input keuzevariabelen'!$P:$P,'Input keuzevariabelen'!$M:$M,Data!H202)</f>
        <v>0</v>
      </c>
      <c r="S202" s="291" t="e">
        <f t="shared" si="11"/>
        <v>#N/A</v>
      </c>
    </row>
    <row r="203" spans="3:19" ht="16.5" thickTop="1" thickBot="1" x14ac:dyDescent="0.25">
      <c r="C203" s="141"/>
      <c r="D203" s="257" t="e">
        <f>VLOOKUP(C203,'Input keuzevariabelen'!$B:$C,2,FALSE)</f>
        <v>#N/A</v>
      </c>
      <c r="E203" s="137"/>
      <c r="F203" s="142"/>
      <c r="G203" s="106" t="e">
        <f>VLOOKUP(H203,'Input keuzevariabelen'!$F:$J,2,FALSE)</f>
        <v>#N/A</v>
      </c>
      <c r="H203" s="112"/>
      <c r="I203" s="332"/>
      <c r="J203" s="288" t="e">
        <f t="shared" si="9"/>
        <v>#N/A</v>
      </c>
      <c r="K203" s="107" t="e">
        <f>VLOOKUP(H203,'Input keuzevariabelen'!$F:$J,3,FALSE)</f>
        <v>#N/A</v>
      </c>
      <c r="L203" s="107">
        <f>SUMIFS('Input keuzevariabelen'!$I:$I,'Input keuzevariabelen'!$F:$F,Data!H203,'Input keuzevariabelen'!$K:$K,Data!E203)</f>
        <v>0</v>
      </c>
      <c r="M203" s="107" t="e">
        <f>VLOOKUP(H203,'Input keuzevariabelen'!$F:$J,5,FALSE)</f>
        <v>#N/A</v>
      </c>
      <c r="N203" s="284" t="e">
        <f t="shared" si="10"/>
        <v>#N/A</v>
      </c>
      <c r="O203" s="115"/>
      <c r="P203" s="115"/>
      <c r="Q203" s="116"/>
      <c r="R203" s="107">
        <f>SUMIFS('Input keuzevariabelen'!$P:$P,'Input keuzevariabelen'!$M:$M,Data!H203)</f>
        <v>0</v>
      </c>
      <c r="S203" s="291" t="e">
        <f t="shared" si="11"/>
        <v>#N/A</v>
      </c>
    </row>
    <row r="204" spans="3:19" ht="16.5" thickTop="1" thickBot="1" x14ac:dyDescent="0.25">
      <c r="C204" s="141"/>
      <c r="D204" s="257" t="e">
        <f>VLOOKUP(C204,'Input keuzevariabelen'!$B:$C,2,FALSE)</f>
        <v>#N/A</v>
      </c>
      <c r="E204" s="137"/>
      <c r="F204" s="142"/>
      <c r="G204" s="106" t="e">
        <f>VLOOKUP(H204,'Input keuzevariabelen'!$F:$J,2,FALSE)</f>
        <v>#N/A</v>
      </c>
      <c r="H204" s="112"/>
      <c r="I204" s="332"/>
      <c r="J204" s="288" t="e">
        <f t="shared" si="9"/>
        <v>#N/A</v>
      </c>
      <c r="K204" s="107" t="e">
        <f>VLOOKUP(H204,'Input keuzevariabelen'!$F:$J,3,FALSE)</f>
        <v>#N/A</v>
      </c>
      <c r="L204" s="107">
        <f>SUMIFS('Input keuzevariabelen'!$I:$I,'Input keuzevariabelen'!$F:$F,Data!H204,'Input keuzevariabelen'!$K:$K,Data!E204)</f>
        <v>0</v>
      </c>
      <c r="M204" s="107" t="e">
        <f>VLOOKUP(H204,'Input keuzevariabelen'!$F:$J,5,FALSE)</f>
        <v>#N/A</v>
      </c>
      <c r="N204" s="284" t="e">
        <f t="shared" si="10"/>
        <v>#N/A</v>
      </c>
      <c r="O204" s="115"/>
      <c r="P204" s="115"/>
      <c r="Q204" s="116"/>
      <c r="R204" s="107">
        <f>SUMIFS('Input keuzevariabelen'!$P:$P,'Input keuzevariabelen'!$M:$M,Data!H204)</f>
        <v>0</v>
      </c>
      <c r="S204" s="291" t="e">
        <f t="shared" si="11"/>
        <v>#N/A</v>
      </c>
    </row>
    <row r="205" spans="3:19" ht="16.5" thickTop="1" thickBot="1" x14ac:dyDescent="0.25">
      <c r="C205" s="141"/>
      <c r="D205" s="257" t="e">
        <f>VLOOKUP(C205,'Input keuzevariabelen'!$B:$C,2,FALSE)</f>
        <v>#N/A</v>
      </c>
      <c r="E205" s="137"/>
      <c r="F205" s="142"/>
      <c r="G205" s="106" t="e">
        <f>VLOOKUP(H205,'Input keuzevariabelen'!$F:$J,2,FALSE)</f>
        <v>#N/A</v>
      </c>
      <c r="H205" s="112"/>
      <c r="I205" s="332"/>
      <c r="J205" s="288" t="e">
        <f t="shared" si="9"/>
        <v>#N/A</v>
      </c>
      <c r="K205" s="107" t="e">
        <f>VLOOKUP(H205,'Input keuzevariabelen'!$F:$J,3,FALSE)</f>
        <v>#N/A</v>
      </c>
      <c r="L205" s="107">
        <f>SUMIFS('Input keuzevariabelen'!$I:$I,'Input keuzevariabelen'!$F:$F,Data!H205,'Input keuzevariabelen'!$K:$K,Data!E205)</f>
        <v>0</v>
      </c>
      <c r="M205" s="107" t="e">
        <f>VLOOKUP(H205,'Input keuzevariabelen'!$F:$J,5,FALSE)</f>
        <v>#N/A</v>
      </c>
      <c r="N205" s="284" t="e">
        <f t="shared" si="10"/>
        <v>#N/A</v>
      </c>
      <c r="O205" s="115"/>
      <c r="P205" s="115"/>
      <c r="Q205" s="116"/>
      <c r="R205" s="107">
        <f>SUMIFS('Input keuzevariabelen'!$P:$P,'Input keuzevariabelen'!$M:$M,Data!H205)</f>
        <v>0</v>
      </c>
      <c r="S205" s="291" t="e">
        <f t="shared" si="11"/>
        <v>#N/A</v>
      </c>
    </row>
    <row r="206" spans="3:19" ht="16.5" thickTop="1" thickBot="1" x14ac:dyDescent="0.25">
      <c r="C206" s="141"/>
      <c r="D206" s="257" t="e">
        <f>VLOOKUP(C206,'Input keuzevariabelen'!$B:$C,2,FALSE)</f>
        <v>#N/A</v>
      </c>
      <c r="E206" s="137"/>
      <c r="F206" s="142"/>
      <c r="G206" s="106" t="e">
        <f>VLOOKUP(H206,'Input keuzevariabelen'!$F:$J,2,FALSE)</f>
        <v>#N/A</v>
      </c>
      <c r="H206" s="112"/>
      <c r="I206" s="332"/>
      <c r="J206" s="288" t="e">
        <f t="shared" si="9"/>
        <v>#N/A</v>
      </c>
      <c r="K206" s="107" t="e">
        <f>VLOOKUP(H206,'Input keuzevariabelen'!$F:$J,3,FALSE)</f>
        <v>#N/A</v>
      </c>
      <c r="L206" s="107">
        <f>SUMIFS('Input keuzevariabelen'!$I:$I,'Input keuzevariabelen'!$F:$F,Data!H206,'Input keuzevariabelen'!$K:$K,Data!E206)</f>
        <v>0</v>
      </c>
      <c r="M206" s="107" t="e">
        <f>VLOOKUP(H206,'Input keuzevariabelen'!$F:$J,5,FALSE)</f>
        <v>#N/A</v>
      </c>
      <c r="N206" s="284" t="e">
        <f t="shared" si="10"/>
        <v>#N/A</v>
      </c>
      <c r="O206" s="115"/>
      <c r="P206" s="115"/>
      <c r="Q206" s="116"/>
      <c r="R206" s="107">
        <f>SUMIFS('Input keuzevariabelen'!$P:$P,'Input keuzevariabelen'!$M:$M,Data!H206)</f>
        <v>0</v>
      </c>
      <c r="S206" s="291" t="e">
        <f t="shared" si="11"/>
        <v>#N/A</v>
      </c>
    </row>
    <row r="207" spans="3:19" ht="16.5" thickTop="1" thickBot="1" x14ac:dyDescent="0.25">
      <c r="C207" s="141"/>
      <c r="D207" s="257" t="e">
        <f>VLOOKUP(C207,'Input keuzevariabelen'!$B:$C,2,FALSE)</f>
        <v>#N/A</v>
      </c>
      <c r="E207" s="137"/>
      <c r="F207" s="142"/>
      <c r="G207" s="106" t="e">
        <f>VLOOKUP(H207,'Input keuzevariabelen'!$F:$J,2,FALSE)</f>
        <v>#N/A</v>
      </c>
      <c r="H207" s="112"/>
      <c r="I207" s="332"/>
      <c r="J207" s="288" t="e">
        <f t="shared" si="9"/>
        <v>#N/A</v>
      </c>
      <c r="K207" s="107" t="e">
        <f>VLOOKUP(H207,'Input keuzevariabelen'!$F:$J,3,FALSE)</f>
        <v>#N/A</v>
      </c>
      <c r="L207" s="107">
        <f>SUMIFS('Input keuzevariabelen'!$I:$I,'Input keuzevariabelen'!$F:$F,Data!H207,'Input keuzevariabelen'!$K:$K,Data!E207)</f>
        <v>0</v>
      </c>
      <c r="M207" s="107" t="e">
        <f>VLOOKUP(H207,'Input keuzevariabelen'!$F:$J,5,FALSE)</f>
        <v>#N/A</v>
      </c>
      <c r="N207" s="284" t="e">
        <f t="shared" si="10"/>
        <v>#N/A</v>
      </c>
      <c r="O207" s="115"/>
      <c r="P207" s="115"/>
      <c r="Q207" s="116"/>
      <c r="R207" s="107">
        <f>SUMIFS('Input keuzevariabelen'!$P:$P,'Input keuzevariabelen'!$M:$M,Data!H207)</f>
        <v>0</v>
      </c>
      <c r="S207" s="291" t="e">
        <f t="shared" si="11"/>
        <v>#N/A</v>
      </c>
    </row>
    <row r="208" spans="3:19" ht="16.5" thickTop="1" thickBot="1" x14ac:dyDescent="0.25">
      <c r="C208" s="141"/>
      <c r="D208" s="257" t="e">
        <f>VLOOKUP(C208,'Input keuzevariabelen'!$B:$C,2,FALSE)</f>
        <v>#N/A</v>
      </c>
      <c r="E208" s="137"/>
      <c r="F208" s="142"/>
      <c r="G208" s="106" t="e">
        <f>VLOOKUP(H208,'Input keuzevariabelen'!$F:$J,2,FALSE)</f>
        <v>#N/A</v>
      </c>
      <c r="H208" s="112"/>
      <c r="I208" s="332"/>
      <c r="J208" s="288" t="e">
        <f t="shared" si="9"/>
        <v>#N/A</v>
      </c>
      <c r="K208" s="107" t="e">
        <f>VLOOKUP(H208,'Input keuzevariabelen'!$F:$J,3,FALSE)</f>
        <v>#N/A</v>
      </c>
      <c r="L208" s="107">
        <f>SUMIFS('Input keuzevariabelen'!$I:$I,'Input keuzevariabelen'!$F:$F,Data!H208,'Input keuzevariabelen'!$K:$K,Data!E208)</f>
        <v>0</v>
      </c>
      <c r="M208" s="107" t="e">
        <f>VLOOKUP(H208,'Input keuzevariabelen'!$F:$J,5,FALSE)</f>
        <v>#N/A</v>
      </c>
      <c r="N208" s="284" t="e">
        <f t="shared" si="10"/>
        <v>#N/A</v>
      </c>
      <c r="O208" s="115"/>
      <c r="P208" s="115"/>
      <c r="Q208" s="116"/>
      <c r="R208" s="107">
        <f>SUMIFS('Input keuzevariabelen'!$P:$P,'Input keuzevariabelen'!$M:$M,Data!H208)</f>
        <v>0</v>
      </c>
      <c r="S208" s="291" t="e">
        <f t="shared" si="11"/>
        <v>#N/A</v>
      </c>
    </row>
    <row r="209" spans="3:19" ht="16.5" thickTop="1" thickBot="1" x14ac:dyDescent="0.25">
      <c r="C209" s="141"/>
      <c r="D209" s="257" t="e">
        <f>VLOOKUP(C209,'Input keuzevariabelen'!$B:$C,2,FALSE)</f>
        <v>#N/A</v>
      </c>
      <c r="E209" s="137"/>
      <c r="F209" s="142"/>
      <c r="G209" s="106" t="e">
        <f>VLOOKUP(H209,'Input keuzevariabelen'!$F:$J,2,FALSE)</f>
        <v>#N/A</v>
      </c>
      <c r="H209" s="112"/>
      <c r="I209" s="332"/>
      <c r="J209" s="288" t="e">
        <f t="shared" si="9"/>
        <v>#N/A</v>
      </c>
      <c r="K209" s="107" t="e">
        <f>VLOOKUP(H209,'Input keuzevariabelen'!$F:$J,3,FALSE)</f>
        <v>#N/A</v>
      </c>
      <c r="L209" s="107">
        <f>SUMIFS('Input keuzevariabelen'!$I:$I,'Input keuzevariabelen'!$F:$F,Data!H209,'Input keuzevariabelen'!$K:$K,Data!E209)</f>
        <v>0</v>
      </c>
      <c r="M209" s="107" t="e">
        <f>VLOOKUP(H209,'Input keuzevariabelen'!$F:$J,5,FALSE)</f>
        <v>#N/A</v>
      </c>
      <c r="N209" s="284" t="e">
        <f t="shared" si="10"/>
        <v>#N/A</v>
      </c>
      <c r="O209" s="115"/>
      <c r="P209" s="115"/>
      <c r="Q209" s="116"/>
      <c r="R209" s="107">
        <f>SUMIFS('Input keuzevariabelen'!$P:$P,'Input keuzevariabelen'!$M:$M,Data!H209)</f>
        <v>0</v>
      </c>
      <c r="S209" s="291" t="e">
        <f t="shared" si="11"/>
        <v>#N/A</v>
      </c>
    </row>
    <row r="210" spans="3:19" ht="16.5" thickTop="1" thickBot="1" x14ac:dyDescent="0.25">
      <c r="C210" s="141"/>
      <c r="D210" s="257" t="e">
        <f>VLOOKUP(C210,'Input keuzevariabelen'!$B:$C,2,FALSE)</f>
        <v>#N/A</v>
      </c>
      <c r="E210" s="137"/>
      <c r="F210" s="142"/>
      <c r="G210" s="106" t="e">
        <f>VLOOKUP(H210,'Input keuzevariabelen'!$F:$J,2,FALSE)</f>
        <v>#N/A</v>
      </c>
      <c r="H210" s="112"/>
      <c r="I210" s="332"/>
      <c r="J210" s="288" t="e">
        <f t="shared" si="9"/>
        <v>#N/A</v>
      </c>
      <c r="K210" s="107" t="e">
        <f>VLOOKUP(H210,'Input keuzevariabelen'!$F:$J,3,FALSE)</f>
        <v>#N/A</v>
      </c>
      <c r="L210" s="107">
        <f>SUMIFS('Input keuzevariabelen'!$I:$I,'Input keuzevariabelen'!$F:$F,Data!H210,'Input keuzevariabelen'!$K:$K,Data!E210)</f>
        <v>0</v>
      </c>
      <c r="M210" s="107" t="e">
        <f>VLOOKUP(H210,'Input keuzevariabelen'!$F:$J,5,FALSE)</f>
        <v>#N/A</v>
      </c>
      <c r="N210" s="284" t="e">
        <f t="shared" si="10"/>
        <v>#N/A</v>
      </c>
      <c r="O210" s="115"/>
      <c r="P210" s="115"/>
      <c r="Q210" s="116"/>
      <c r="R210" s="107">
        <f>SUMIFS('Input keuzevariabelen'!$P:$P,'Input keuzevariabelen'!$M:$M,Data!H210)</f>
        <v>0</v>
      </c>
      <c r="S210" s="291" t="e">
        <f t="shared" si="11"/>
        <v>#N/A</v>
      </c>
    </row>
    <row r="211" spans="3:19" ht="16.5" thickTop="1" thickBot="1" x14ac:dyDescent="0.25">
      <c r="C211" s="141"/>
      <c r="D211" s="257" t="e">
        <f>VLOOKUP(C211,'Input keuzevariabelen'!$B:$C,2,FALSE)</f>
        <v>#N/A</v>
      </c>
      <c r="E211" s="137"/>
      <c r="F211" s="142"/>
      <c r="G211" s="106" t="e">
        <f>VLOOKUP(H211,'Input keuzevariabelen'!$F:$J,2,FALSE)</f>
        <v>#N/A</v>
      </c>
      <c r="H211" s="112"/>
      <c r="I211" s="332"/>
      <c r="J211" s="288" t="e">
        <f t="shared" si="9"/>
        <v>#N/A</v>
      </c>
      <c r="K211" s="107" t="e">
        <f>VLOOKUP(H211,'Input keuzevariabelen'!$F:$J,3,FALSE)</f>
        <v>#N/A</v>
      </c>
      <c r="L211" s="107">
        <f>SUMIFS('Input keuzevariabelen'!$I:$I,'Input keuzevariabelen'!$F:$F,Data!H211,'Input keuzevariabelen'!$K:$K,Data!E211)</f>
        <v>0</v>
      </c>
      <c r="M211" s="107" t="e">
        <f>VLOOKUP(H211,'Input keuzevariabelen'!$F:$J,5,FALSE)</f>
        <v>#N/A</v>
      </c>
      <c r="N211" s="284" t="e">
        <f t="shared" si="10"/>
        <v>#N/A</v>
      </c>
      <c r="O211" s="115"/>
      <c r="P211" s="115"/>
      <c r="Q211" s="116"/>
      <c r="R211" s="107">
        <f>SUMIFS('Input keuzevariabelen'!$P:$P,'Input keuzevariabelen'!$M:$M,Data!H211)</f>
        <v>0</v>
      </c>
      <c r="S211" s="291" t="e">
        <f t="shared" si="11"/>
        <v>#N/A</v>
      </c>
    </row>
    <row r="212" spans="3:19" ht="16.5" thickTop="1" thickBot="1" x14ac:dyDescent="0.25">
      <c r="C212" s="141"/>
      <c r="D212" s="257" t="e">
        <f>VLOOKUP(C212,'Input keuzevariabelen'!$B:$C,2,FALSE)</f>
        <v>#N/A</v>
      </c>
      <c r="E212" s="137"/>
      <c r="F212" s="142"/>
      <c r="G212" s="106" t="e">
        <f>VLOOKUP(H212,'Input keuzevariabelen'!$F:$J,2,FALSE)</f>
        <v>#N/A</v>
      </c>
      <c r="H212" s="112"/>
      <c r="I212" s="332"/>
      <c r="J212" s="288" t="e">
        <f t="shared" si="9"/>
        <v>#N/A</v>
      </c>
      <c r="K212" s="107" t="e">
        <f>VLOOKUP(H212,'Input keuzevariabelen'!$F:$J,3,FALSE)</f>
        <v>#N/A</v>
      </c>
      <c r="L212" s="107">
        <f>SUMIFS('Input keuzevariabelen'!$I:$I,'Input keuzevariabelen'!$F:$F,Data!H212,'Input keuzevariabelen'!$K:$K,Data!E212)</f>
        <v>0</v>
      </c>
      <c r="M212" s="107" t="e">
        <f>VLOOKUP(H212,'Input keuzevariabelen'!$F:$J,5,FALSE)</f>
        <v>#N/A</v>
      </c>
      <c r="N212" s="284" t="e">
        <f t="shared" si="10"/>
        <v>#N/A</v>
      </c>
      <c r="O212" s="115"/>
      <c r="P212" s="115"/>
      <c r="Q212" s="116"/>
      <c r="R212" s="107">
        <f>SUMIFS('Input keuzevariabelen'!$P:$P,'Input keuzevariabelen'!$M:$M,Data!H212)</f>
        <v>0</v>
      </c>
      <c r="S212" s="291" t="e">
        <f t="shared" si="11"/>
        <v>#N/A</v>
      </c>
    </row>
    <row r="213" spans="3:19" ht="16.5" thickTop="1" thickBot="1" x14ac:dyDescent="0.25">
      <c r="C213" s="141"/>
      <c r="D213" s="257" t="e">
        <f>VLOOKUP(C213,'Input keuzevariabelen'!$B:$C,2,FALSE)</f>
        <v>#N/A</v>
      </c>
      <c r="E213" s="137"/>
      <c r="F213" s="142"/>
      <c r="G213" s="106" t="e">
        <f>VLOOKUP(H213,'Input keuzevariabelen'!$F:$J,2,FALSE)</f>
        <v>#N/A</v>
      </c>
      <c r="H213" s="112"/>
      <c r="I213" s="332"/>
      <c r="J213" s="288" t="e">
        <f t="shared" si="9"/>
        <v>#N/A</v>
      </c>
      <c r="K213" s="107" t="e">
        <f>VLOOKUP(H213,'Input keuzevariabelen'!$F:$J,3,FALSE)</f>
        <v>#N/A</v>
      </c>
      <c r="L213" s="107">
        <f>SUMIFS('Input keuzevariabelen'!$I:$I,'Input keuzevariabelen'!$F:$F,Data!H213,'Input keuzevariabelen'!$K:$K,Data!E213)</f>
        <v>0</v>
      </c>
      <c r="M213" s="107" t="e">
        <f>VLOOKUP(H213,'Input keuzevariabelen'!$F:$J,5,FALSE)</f>
        <v>#N/A</v>
      </c>
      <c r="N213" s="284" t="e">
        <f t="shared" si="10"/>
        <v>#N/A</v>
      </c>
      <c r="O213" s="115"/>
      <c r="P213" s="115"/>
      <c r="Q213" s="116"/>
      <c r="R213" s="107">
        <f>SUMIFS('Input keuzevariabelen'!$P:$P,'Input keuzevariabelen'!$M:$M,Data!H213)</f>
        <v>0</v>
      </c>
      <c r="S213" s="291" t="e">
        <f t="shared" si="11"/>
        <v>#N/A</v>
      </c>
    </row>
    <row r="214" spans="3:19" ht="16.5" thickTop="1" thickBot="1" x14ac:dyDescent="0.25">
      <c r="C214" s="141"/>
      <c r="D214" s="257" t="e">
        <f>VLOOKUP(C214,'Input keuzevariabelen'!$B:$C,2,FALSE)</f>
        <v>#N/A</v>
      </c>
      <c r="E214" s="137"/>
      <c r="F214" s="142"/>
      <c r="G214" s="106" t="e">
        <f>VLOOKUP(H214,'Input keuzevariabelen'!$F:$J,2,FALSE)</f>
        <v>#N/A</v>
      </c>
      <c r="H214" s="112"/>
      <c r="I214" s="332"/>
      <c r="J214" s="288" t="e">
        <f t="shared" si="9"/>
        <v>#N/A</v>
      </c>
      <c r="K214" s="107" t="e">
        <f>VLOOKUP(H214,'Input keuzevariabelen'!$F:$J,3,FALSE)</f>
        <v>#N/A</v>
      </c>
      <c r="L214" s="107">
        <f>SUMIFS('Input keuzevariabelen'!$I:$I,'Input keuzevariabelen'!$F:$F,Data!H214,'Input keuzevariabelen'!$K:$K,Data!E214)</f>
        <v>0</v>
      </c>
      <c r="M214" s="107" t="e">
        <f>VLOOKUP(H214,'Input keuzevariabelen'!$F:$J,5,FALSE)</f>
        <v>#N/A</v>
      </c>
      <c r="N214" s="284" t="e">
        <f t="shared" si="10"/>
        <v>#N/A</v>
      </c>
      <c r="O214" s="115"/>
      <c r="P214" s="115"/>
      <c r="Q214" s="116"/>
      <c r="R214" s="107">
        <f>SUMIFS('Input keuzevariabelen'!$P:$P,'Input keuzevariabelen'!$M:$M,Data!H214)</f>
        <v>0</v>
      </c>
      <c r="S214" s="291" t="e">
        <f t="shared" si="11"/>
        <v>#N/A</v>
      </c>
    </row>
    <row r="215" spans="3:19" ht="16.5" thickTop="1" thickBot="1" x14ac:dyDescent="0.25">
      <c r="C215" s="141"/>
      <c r="D215" s="257" t="e">
        <f>VLOOKUP(C215,'Input keuzevariabelen'!$B:$C,2,FALSE)</f>
        <v>#N/A</v>
      </c>
      <c r="E215" s="137"/>
      <c r="F215" s="142"/>
      <c r="G215" s="106" t="e">
        <f>VLOOKUP(H215,'Input keuzevariabelen'!$F:$J,2,FALSE)</f>
        <v>#N/A</v>
      </c>
      <c r="H215" s="112"/>
      <c r="I215" s="332"/>
      <c r="J215" s="288" t="e">
        <f t="shared" si="9"/>
        <v>#N/A</v>
      </c>
      <c r="K215" s="107" t="e">
        <f>VLOOKUP(H215,'Input keuzevariabelen'!$F:$J,3,FALSE)</f>
        <v>#N/A</v>
      </c>
      <c r="L215" s="107">
        <f>SUMIFS('Input keuzevariabelen'!$I:$I,'Input keuzevariabelen'!$F:$F,Data!H215,'Input keuzevariabelen'!$K:$K,Data!E215)</f>
        <v>0</v>
      </c>
      <c r="M215" s="107" t="e">
        <f>VLOOKUP(H215,'Input keuzevariabelen'!$F:$J,5,FALSE)</f>
        <v>#N/A</v>
      </c>
      <c r="N215" s="284" t="e">
        <f t="shared" si="10"/>
        <v>#N/A</v>
      </c>
      <c r="O215" s="115"/>
      <c r="P215" s="115"/>
      <c r="Q215" s="116"/>
      <c r="R215" s="107">
        <f>SUMIFS('Input keuzevariabelen'!$P:$P,'Input keuzevariabelen'!$M:$M,Data!H215)</f>
        <v>0</v>
      </c>
      <c r="S215" s="291" t="e">
        <f t="shared" si="11"/>
        <v>#N/A</v>
      </c>
    </row>
    <row r="216" spans="3:19" ht="16.5" thickTop="1" thickBot="1" x14ac:dyDescent="0.25">
      <c r="C216" s="141"/>
      <c r="D216" s="257" t="e">
        <f>VLOOKUP(C216,'Input keuzevariabelen'!$B:$C,2,FALSE)</f>
        <v>#N/A</v>
      </c>
      <c r="E216" s="137"/>
      <c r="F216" s="142"/>
      <c r="G216" s="106" t="e">
        <f>VLOOKUP(H216,'Input keuzevariabelen'!$F:$J,2,FALSE)</f>
        <v>#N/A</v>
      </c>
      <c r="H216" s="112"/>
      <c r="I216" s="332"/>
      <c r="J216" s="288" t="e">
        <f t="shared" si="9"/>
        <v>#N/A</v>
      </c>
      <c r="K216" s="107" t="e">
        <f>VLOOKUP(H216,'Input keuzevariabelen'!$F:$J,3,FALSE)</f>
        <v>#N/A</v>
      </c>
      <c r="L216" s="107">
        <f>SUMIFS('Input keuzevariabelen'!$I:$I,'Input keuzevariabelen'!$F:$F,Data!H216,'Input keuzevariabelen'!$K:$K,Data!E216)</f>
        <v>0</v>
      </c>
      <c r="M216" s="107" t="e">
        <f>VLOOKUP(H216,'Input keuzevariabelen'!$F:$J,5,FALSE)</f>
        <v>#N/A</v>
      </c>
      <c r="N216" s="284" t="e">
        <f t="shared" si="10"/>
        <v>#N/A</v>
      </c>
      <c r="O216" s="115"/>
      <c r="P216" s="115"/>
      <c r="Q216" s="116"/>
      <c r="R216" s="107">
        <f>SUMIFS('Input keuzevariabelen'!$P:$P,'Input keuzevariabelen'!$M:$M,Data!H216)</f>
        <v>0</v>
      </c>
      <c r="S216" s="291" t="e">
        <f t="shared" si="11"/>
        <v>#N/A</v>
      </c>
    </row>
    <row r="217" spans="3:19" ht="16.5" thickTop="1" thickBot="1" x14ac:dyDescent="0.25">
      <c r="C217" s="141"/>
      <c r="D217" s="257" t="e">
        <f>VLOOKUP(C217,'Input keuzevariabelen'!$B:$C,2,FALSE)</f>
        <v>#N/A</v>
      </c>
      <c r="E217" s="137"/>
      <c r="F217" s="142"/>
      <c r="G217" s="106" t="e">
        <f>VLOOKUP(H217,'Input keuzevariabelen'!$F:$J,2,FALSE)</f>
        <v>#N/A</v>
      </c>
      <c r="H217" s="112"/>
      <c r="I217" s="332"/>
      <c r="J217" s="288" t="e">
        <f t="shared" si="9"/>
        <v>#N/A</v>
      </c>
      <c r="K217" s="107" t="e">
        <f>VLOOKUP(H217,'Input keuzevariabelen'!$F:$J,3,FALSE)</f>
        <v>#N/A</v>
      </c>
      <c r="L217" s="107">
        <f>SUMIFS('Input keuzevariabelen'!$I:$I,'Input keuzevariabelen'!$F:$F,Data!H217,'Input keuzevariabelen'!$K:$K,Data!E217)</f>
        <v>0</v>
      </c>
      <c r="M217" s="107" t="e">
        <f>VLOOKUP(H217,'Input keuzevariabelen'!$F:$J,5,FALSE)</f>
        <v>#N/A</v>
      </c>
      <c r="N217" s="284" t="e">
        <f t="shared" si="10"/>
        <v>#N/A</v>
      </c>
      <c r="O217" s="115"/>
      <c r="P217" s="115"/>
      <c r="Q217" s="116"/>
      <c r="R217" s="107">
        <f>SUMIFS('Input keuzevariabelen'!$P:$P,'Input keuzevariabelen'!$M:$M,Data!H217)</f>
        <v>0</v>
      </c>
      <c r="S217" s="291" t="e">
        <f t="shared" si="11"/>
        <v>#N/A</v>
      </c>
    </row>
    <row r="218" spans="3:19" ht="16.5" thickTop="1" thickBot="1" x14ac:dyDescent="0.25">
      <c r="C218" s="141"/>
      <c r="D218" s="257" t="e">
        <f>VLOOKUP(C218,'Input keuzevariabelen'!$B:$C,2,FALSE)</f>
        <v>#N/A</v>
      </c>
      <c r="E218" s="137"/>
      <c r="F218" s="142"/>
      <c r="G218" s="106" t="e">
        <f>VLOOKUP(H218,'Input keuzevariabelen'!$F:$J,2,FALSE)</f>
        <v>#N/A</v>
      </c>
      <c r="H218" s="112"/>
      <c r="I218" s="332"/>
      <c r="J218" s="288" t="e">
        <f t="shared" si="9"/>
        <v>#N/A</v>
      </c>
      <c r="K218" s="107" t="e">
        <f>VLOOKUP(H218,'Input keuzevariabelen'!$F:$J,3,FALSE)</f>
        <v>#N/A</v>
      </c>
      <c r="L218" s="107">
        <f>SUMIFS('Input keuzevariabelen'!$I:$I,'Input keuzevariabelen'!$F:$F,Data!H218,'Input keuzevariabelen'!$K:$K,Data!E218)</f>
        <v>0</v>
      </c>
      <c r="M218" s="107" t="e">
        <f>VLOOKUP(H218,'Input keuzevariabelen'!$F:$J,5,FALSE)</f>
        <v>#N/A</v>
      </c>
      <c r="N218" s="284" t="e">
        <f t="shared" si="10"/>
        <v>#N/A</v>
      </c>
      <c r="O218" s="115"/>
      <c r="P218" s="115"/>
      <c r="Q218" s="116"/>
      <c r="R218" s="107">
        <f>SUMIFS('Input keuzevariabelen'!$P:$P,'Input keuzevariabelen'!$M:$M,Data!H218)</f>
        <v>0</v>
      </c>
      <c r="S218" s="291" t="e">
        <f t="shared" si="11"/>
        <v>#N/A</v>
      </c>
    </row>
    <row r="219" spans="3:19" ht="16.5" thickTop="1" thickBot="1" x14ac:dyDescent="0.25">
      <c r="C219" s="141"/>
      <c r="D219" s="257" t="e">
        <f>VLOOKUP(C219,'Input keuzevariabelen'!$B:$C,2,FALSE)</f>
        <v>#N/A</v>
      </c>
      <c r="E219" s="137"/>
      <c r="F219" s="142"/>
      <c r="G219" s="106" t="e">
        <f>VLOOKUP(H219,'Input keuzevariabelen'!$F:$J,2,FALSE)</f>
        <v>#N/A</v>
      </c>
      <c r="H219" s="112"/>
      <c r="I219" s="332"/>
      <c r="J219" s="288" t="e">
        <f t="shared" si="9"/>
        <v>#N/A</v>
      </c>
      <c r="K219" s="107" t="e">
        <f>VLOOKUP(H219,'Input keuzevariabelen'!$F:$J,3,FALSE)</f>
        <v>#N/A</v>
      </c>
      <c r="L219" s="107">
        <f>SUMIFS('Input keuzevariabelen'!$I:$I,'Input keuzevariabelen'!$F:$F,Data!H219,'Input keuzevariabelen'!$K:$K,Data!E219)</f>
        <v>0</v>
      </c>
      <c r="M219" s="107" t="e">
        <f>VLOOKUP(H219,'Input keuzevariabelen'!$F:$J,5,FALSE)</f>
        <v>#N/A</v>
      </c>
      <c r="N219" s="284" t="e">
        <f t="shared" si="10"/>
        <v>#N/A</v>
      </c>
      <c r="O219" s="115"/>
      <c r="P219" s="115"/>
      <c r="Q219" s="116"/>
      <c r="R219" s="107">
        <f>SUMIFS('Input keuzevariabelen'!$P:$P,'Input keuzevariabelen'!$M:$M,Data!H219)</f>
        <v>0</v>
      </c>
      <c r="S219" s="291" t="e">
        <f t="shared" si="11"/>
        <v>#N/A</v>
      </c>
    </row>
    <row r="220" spans="3:19" ht="16.5" thickTop="1" thickBot="1" x14ac:dyDescent="0.25">
      <c r="C220" s="141"/>
      <c r="D220" s="257" t="e">
        <f>VLOOKUP(C220,'Input keuzevariabelen'!$B:$C,2,FALSE)</f>
        <v>#N/A</v>
      </c>
      <c r="E220" s="137"/>
      <c r="F220" s="142"/>
      <c r="G220" s="106" t="e">
        <f>VLOOKUP(H220,'Input keuzevariabelen'!$F:$J,2,FALSE)</f>
        <v>#N/A</v>
      </c>
      <c r="H220" s="112"/>
      <c r="I220" s="332"/>
      <c r="J220" s="288" t="e">
        <f t="shared" si="9"/>
        <v>#N/A</v>
      </c>
      <c r="K220" s="107" t="e">
        <f>VLOOKUP(H220,'Input keuzevariabelen'!$F:$J,3,FALSE)</f>
        <v>#N/A</v>
      </c>
      <c r="L220" s="107">
        <f>SUMIFS('Input keuzevariabelen'!$I:$I,'Input keuzevariabelen'!$F:$F,Data!H220,'Input keuzevariabelen'!$K:$K,Data!E220)</f>
        <v>0</v>
      </c>
      <c r="M220" s="107" t="e">
        <f>VLOOKUP(H220,'Input keuzevariabelen'!$F:$J,5,FALSE)</f>
        <v>#N/A</v>
      </c>
      <c r="N220" s="284" t="e">
        <f t="shared" si="10"/>
        <v>#N/A</v>
      </c>
      <c r="O220" s="115"/>
      <c r="P220" s="115"/>
      <c r="Q220" s="116"/>
      <c r="R220" s="107">
        <f>SUMIFS('Input keuzevariabelen'!$P:$P,'Input keuzevariabelen'!$M:$M,Data!H220)</f>
        <v>0</v>
      </c>
      <c r="S220" s="291" t="e">
        <f t="shared" si="11"/>
        <v>#N/A</v>
      </c>
    </row>
    <row r="221" spans="3:19" ht="16.5" thickTop="1" thickBot="1" x14ac:dyDescent="0.25">
      <c r="C221" s="141"/>
      <c r="D221" s="257" t="e">
        <f>VLOOKUP(C221,'Input keuzevariabelen'!$B:$C,2,FALSE)</f>
        <v>#N/A</v>
      </c>
      <c r="E221" s="137"/>
      <c r="F221" s="142"/>
      <c r="G221" s="106" t="e">
        <f>VLOOKUP(H221,'Input keuzevariabelen'!$F:$J,2,FALSE)</f>
        <v>#N/A</v>
      </c>
      <c r="H221" s="112"/>
      <c r="I221" s="332"/>
      <c r="J221" s="288" t="e">
        <f t="shared" si="9"/>
        <v>#N/A</v>
      </c>
      <c r="K221" s="107" t="e">
        <f>VLOOKUP(H221,'Input keuzevariabelen'!$F:$J,3,FALSE)</f>
        <v>#N/A</v>
      </c>
      <c r="L221" s="107">
        <f>SUMIFS('Input keuzevariabelen'!$I:$I,'Input keuzevariabelen'!$F:$F,Data!H221,'Input keuzevariabelen'!$K:$K,Data!E221)</f>
        <v>0</v>
      </c>
      <c r="M221" s="107" t="e">
        <f>VLOOKUP(H221,'Input keuzevariabelen'!$F:$J,5,FALSE)</f>
        <v>#N/A</v>
      </c>
      <c r="N221" s="284" t="e">
        <f t="shared" si="10"/>
        <v>#N/A</v>
      </c>
      <c r="O221" s="115"/>
      <c r="P221" s="115"/>
      <c r="Q221" s="116"/>
      <c r="R221" s="107">
        <f>SUMIFS('Input keuzevariabelen'!$P:$P,'Input keuzevariabelen'!$M:$M,Data!H221)</f>
        <v>0</v>
      </c>
      <c r="S221" s="291" t="e">
        <f t="shared" si="11"/>
        <v>#N/A</v>
      </c>
    </row>
    <row r="222" spans="3:19" ht="16.5" thickTop="1" thickBot="1" x14ac:dyDescent="0.25">
      <c r="C222" s="141"/>
      <c r="D222" s="257" t="e">
        <f>VLOOKUP(C222,'Input keuzevariabelen'!$B:$C,2,FALSE)</f>
        <v>#N/A</v>
      </c>
      <c r="E222" s="137"/>
      <c r="F222" s="142"/>
      <c r="G222" s="106" t="e">
        <f>VLOOKUP(H222,'Input keuzevariabelen'!$F:$J,2,FALSE)</f>
        <v>#N/A</v>
      </c>
      <c r="H222" s="112"/>
      <c r="I222" s="332"/>
      <c r="J222" s="288" t="e">
        <f t="shared" si="9"/>
        <v>#N/A</v>
      </c>
      <c r="K222" s="107" t="e">
        <f>VLOOKUP(H222,'Input keuzevariabelen'!$F:$J,3,FALSE)</f>
        <v>#N/A</v>
      </c>
      <c r="L222" s="107">
        <f>SUMIFS('Input keuzevariabelen'!$I:$I,'Input keuzevariabelen'!$F:$F,Data!H222,'Input keuzevariabelen'!$K:$K,Data!E222)</f>
        <v>0</v>
      </c>
      <c r="M222" s="107" t="e">
        <f>VLOOKUP(H222,'Input keuzevariabelen'!$F:$J,5,FALSE)</f>
        <v>#N/A</v>
      </c>
      <c r="N222" s="284" t="e">
        <f t="shared" si="10"/>
        <v>#N/A</v>
      </c>
      <c r="O222" s="115"/>
      <c r="P222" s="115"/>
      <c r="Q222" s="116"/>
      <c r="R222" s="107">
        <f>SUMIFS('Input keuzevariabelen'!$P:$P,'Input keuzevariabelen'!$M:$M,Data!H222)</f>
        <v>0</v>
      </c>
      <c r="S222" s="291" t="e">
        <f t="shared" si="11"/>
        <v>#N/A</v>
      </c>
    </row>
    <row r="223" spans="3:19" ht="16.5" thickTop="1" thickBot="1" x14ac:dyDescent="0.25">
      <c r="C223" s="141"/>
      <c r="D223" s="257" t="e">
        <f>VLOOKUP(C223,'Input keuzevariabelen'!$B:$C,2,FALSE)</f>
        <v>#N/A</v>
      </c>
      <c r="E223" s="137"/>
      <c r="F223" s="142"/>
      <c r="G223" s="106" t="e">
        <f>VLOOKUP(H223,'Input keuzevariabelen'!$F:$J,2,FALSE)</f>
        <v>#N/A</v>
      </c>
      <c r="H223" s="112"/>
      <c r="I223" s="332"/>
      <c r="J223" s="288" t="e">
        <f t="shared" si="9"/>
        <v>#N/A</v>
      </c>
      <c r="K223" s="107" t="e">
        <f>VLOOKUP(H223,'Input keuzevariabelen'!$F:$J,3,FALSE)</f>
        <v>#N/A</v>
      </c>
      <c r="L223" s="107">
        <f>SUMIFS('Input keuzevariabelen'!$I:$I,'Input keuzevariabelen'!$F:$F,Data!H223,'Input keuzevariabelen'!$K:$K,Data!E223)</f>
        <v>0</v>
      </c>
      <c r="M223" s="107" t="e">
        <f>VLOOKUP(H223,'Input keuzevariabelen'!$F:$J,5,FALSE)</f>
        <v>#N/A</v>
      </c>
      <c r="N223" s="284" t="e">
        <f t="shared" si="10"/>
        <v>#N/A</v>
      </c>
      <c r="O223" s="115"/>
      <c r="P223" s="115"/>
      <c r="Q223" s="116"/>
      <c r="R223" s="107">
        <f>SUMIFS('Input keuzevariabelen'!$P:$P,'Input keuzevariabelen'!$M:$M,Data!H223)</f>
        <v>0</v>
      </c>
      <c r="S223" s="291" t="e">
        <f t="shared" si="11"/>
        <v>#N/A</v>
      </c>
    </row>
    <row r="224" spans="3:19" ht="16.5" thickTop="1" thickBot="1" x14ac:dyDescent="0.25">
      <c r="C224" s="141"/>
      <c r="D224" s="257" t="e">
        <f>VLOOKUP(C224,'Input keuzevariabelen'!$B:$C,2,FALSE)</f>
        <v>#N/A</v>
      </c>
      <c r="E224" s="137"/>
      <c r="F224" s="142"/>
      <c r="G224" s="106" t="e">
        <f>VLOOKUP(H224,'Input keuzevariabelen'!$F:$J,2,FALSE)</f>
        <v>#N/A</v>
      </c>
      <c r="H224" s="112"/>
      <c r="I224" s="332"/>
      <c r="J224" s="288" t="e">
        <f t="shared" si="9"/>
        <v>#N/A</v>
      </c>
      <c r="K224" s="107" t="e">
        <f>VLOOKUP(H224,'Input keuzevariabelen'!$F:$J,3,FALSE)</f>
        <v>#N/A</v>
      </c>
      <c r="L224" s="107">
        <f>SUMIFS('Input keuzevariabelen'!$I:$I,'Input keuzevariabelen'!$F:$F,Data!H224,'Input keuzevariabelen'!$K:$K,Data!E224)</f>
        <v>0</v>
      </c>
      <c r="M224" s="107" t="e">
        <f>VLOOKUP(H224,'Input keuzevariabelen'!$F:$J,5,FALSE)</f>
        <v>#N/A</v>
      </c>
      <c r="N224" s="284" t="e">
        <f t="shared" si="10"/>
        <v>#N/A</v>
      </c>
      <c r="O224" s="115"/>
      <c r="P224" s="115"/>
      <c r="Q224" s="116"/>
      <c r="R224" s="107">
        <f>SUMIFS('Input keuzevariabelen'!$P:$P,'Input keuzevariabelen'!$M:$M,Data!H224)</f>
        <v>0</v>
      </c>
      <c r="S224" s="291" t="e">
        <f t="shared" si="11"/>
        <v>#N/A</v>
      </c>
    </row>
    <row r="225" spans="3:19" ht="16.5" thickTop="1" thickBot="1" x14ac:dyDescent="0.25">
      <c r="C225" s="141"/>
      <c r="D225" s="257" t="e">
        <f>VLOOKUP(C225,'Input keuzevariabelen'!$B:$C,2,FALSE)</f>
        <v>#N/A</v>
      </c>
      <c r="E225" s="137"/>
      <c r="F225" s="142"/>
      <c r="G225" s="106" t="e">
        <f>VLOOKUP(H225,'Input keuzevariabelen'!$F:$J,2,FALSE)</f>
        <v>#N/A</v>
      </c>
      <c r="H225" s="112"/>
      <c r="I225" s="332"/>
      <c r="J225" s="288" t="e">
        <f t="shared" si="9"/>
        <v>#N/A</v>
      </c>
      <c r="K225" s="107" t="e">
        <f>VLOOKUP(H225,'Input keuzevariabelen'!$F:$J,3,FALSE)</f>
        <v>#N/A</v>
      </c>
      <c r="L225" s="107">
        <f>SUMIFS('Input keuzevariabelen'!$I:$I,'Input keuzevariabelen'!$F:$F,Data!H225,'Input keuzevariabelen'!$K:$K,Data!E225)</f>
        <v>0</v>
      </c>
      <c r="M225" s="107" t="e">
        <f>VLOOKUP(H225,'Input keuzevariabelen'!$F:$J,5,FALSE)</f>
        <v>#N/A</v>
      </c>
      <c r="N225" s="284" t="e">
        <f t="shared" si="10"/>
        <v>#N/A</v>
      </c>
      <c r="O225" s="115"/>
      <c r="P225" s="115"/>
      <c r="Q225" s="116"/>
      <c r="R225" s="107">
        <f>SUMIFS('Input keuzevariabelen'!$P:$P,'Input keuzevariabelen'!$M:$M,Data!H225)</f>
        <v>0</v>
      </c>
      <c r="S225" s="291" t="e">
        <f t="shared" si="11"/>
        <v>#N/A</v>
      </c>
    </row>
    <row r="226" spans="3:19" ht="16.5" thickTop="1" thickBot="1" x14ac:dyDescent="0.25">
      <c r="C226" s="141"/>
      <c r="D226" s="257" t="e">
        <f>VLOOKUP(C226,'Input keuzevariabelen'!$B:$C,2,FALSE)</f>
        <v>#N/A</v>
      </c>
      <c r="E226" s="137"/>
      <c r="F226" s="142"/>
      <c r="G226" s="106" t="e">
        <f>VLOOKUP(H226,'Input keuzevariabelen'!$F:$J,2,FALSE)</f>
        <v>#N/A</v>
      </c>
      <c r="H226" s="112"/>
      <c r="I226" s="332"/>
      <c r="J226" s="288" t="e">
        <f t="shared" si="9"/>
        <v>#N/A</v>
      </c>
      <c r="K226" s="107" t="e">
        <f>VLOOKUP(H226,'Input keuzevariabelen'!$F:$J,3,FALSE)</f>
        <v>#N/A</v>
      </c>
      <c r="L226" s="107">
        <f>SUMIFS('Input keuzevariabelen'!$I:$I,'Input keuzevariabelen'!$F:$F,Data!H226,'Input keuzevariabelen'!$K:$K,Data!E226)</f>
        <v>0</v>
      </c>
      <c r="M226" s="107" t="e">
        <f>VLOOKUP(H226,'Input keuzevariabelen'!$F:$J,5,FALSE)</f>
        <v>#N/A</v>
      </c>
      <c r="N226" s="284" t="e">
        <f t="shared" si="10"/>
        <v>#N/A</v>
      </c>
      <c r="O226" s="115"/>
      <c r="P226" s="115"/>
      <c r="Q226" s="116"/>
      <c r="R226" s="107">
        <f>SUMIFS('Input keuzevariabelen'!$P:$P,'Input keuzevariabelen'!$M:$M,Data!H226)</f>
        <v>0</v>
      </c>
      <c r="S226" s="291" t="e">
        <f t="shared" si="11"/>
        <v>#N/A</v>
      </c>
    </row>
    <row r="227" spans="3:19" ht="16.5" thickTop="1" thickBot="1" x14ac:dyDescent="0.25">
      <c r="C227" s="141"/>
      <c r="D227" s="257" t="e">
        <f>VLOOKUP(C227,'Input keuzevariabelen'!$B:$C,2,FALSE)</f>
        <v>#N/A</v>
      </c>
      <c r="E227" s="137"/>
      <c r="F227" s="142"/>
      <c r="G227" s="106" t="e">
        <f>VLOOKUP(H227,'Input keuzevariabelen'!$F:$J,2,FALSE)</f>
        <v>#N/A</v>
      </c>
      <c r="H227" s="112"/>
      <c r="I227" s="332"/>
      <c r="J227" s="288" t="e">
        <f t="shared" si="9"/>
        <v>#N/A</v>
      </c>
      <c r="K227" s="107" t="e">
        <f>VLOOKUP(H227,'Input keuzevariabelen'!$F:$J,3,FALSE)</f>
        <v>#N/A</v>
      </c>
      <c r="L227" s="107">
        <f>SUMIFS('Input keuzevariabelen'!$I:$I,'Input keuzevariabelen'!$F:$F,Data!H227,'Input keuzevariabelen'!$K:$K,Data!E227)</f>
        <v>0</v>
      </c>
      <c r="M227" s="107" t="e">
        <f>VLOOKUP(H227,'Input keuzevariabelen'!$F:$J,5,FALSE)</f>
        <v>#N/A</v>
      </c>
      <c r="N227" s="284" t="e">
        <f t="shared" si="10"/>
        <v>#N/A</v>
      </c>
      <c r="O227" s="115"/>
      <c r="P227" s="115"/>
      <c r="Q227" s="116"/>
      <c r="R227" s="107">
        <f>SUMIFS('Input keuzevariabelen'!$P:$P,'Input keuzevariabelen'!$M:$M,Data!H227)</f>
        <v>0</v>
      </c>
      <c r="S227" s="291" t="e">
        <f t="shared" si="11"/>
        <v>#N/A</v>
      </c>
    </row>
    <row r="228" spans="3:19" ht="16.5" thickTop="1" thickBot="1" x14ac:dyDescent="0.25">
      <c r="C228" s="141"/>
      <c r="D228" s="257" t="e">
        <f>VLOOKUP(C228,'Input keuzevariabelen'!$B:$C,2,FALSE)</f>
        <v>#N/A</v>
      </c>
      <c r="E228" s="137"/>
      <c r="F228" s="142"/>
      <c r="G228" s="106" t="e">
        <f>VLOOKUP(H228,'Input keuzevariabelen'!$F:$J,2,FALSE)</f>
        <v>#N/A</v>
      </c>
      <c r="H228" s="112"/>
      <c r="I228" s="332"/>
      <c r="J228" s="288" t="e">
        <f t="shared" si="9"/>
        <v>#N/A</v>
      </c>
      <c r="K228" s="107" t="e">
        <f>VLOOKUP(H228,'Input keuzevariabelen'!$F:$J,3,FALSE)</f>
        <v>#N/A</v>
      </c>
      <c r="L228" s="107">
        <f>SUMIFS('Input keuzevariabelen'!$I:$I,'Input keuzevariabelen'!$F:$F,Data!H228,'Input keuzevariabelen'!$K:$K,Data!E228)</f>
        <v>0</v>
      </c>
      <c r="M228" s="107" t="e">
        <f>VLOOKUP(H228,'Input keuzevariabelen'!$F:$J,5,FALSE)</f>
        <v>#N/A</v>
      </c>
      <c r="N228" s="284" t="e">
        <f t="shared" si="10"/>
        <v>#N/A</v>
      </c>
      <c r="O228" s="115"/>
      <c r="P228" s="115"/>
      <c r="Q228" s="116"/>
      <c r="R228" s="107">
        <f>SUMIFS('Input keuzevariabelen'!$P:$P,'Input keuzevariabelen'!$M:$M,Data!H228)</f>
        <v>0</v>
      </c>
      <c r="S228" s="291" t="e">
        <f t="shared" si="11"/>
        <v>#N/A</v>
      </c>
    </row>
    <row r="229" spans="3:19" ht="16.5" thickTop="1" thickBot="1" x14ac:dyDescent="0.25">
      <c r="C229" s="141"/>
      <c r="D229" s="257" t="e">
        <f>VLOOKUP(C229,'Input keuzevariabelen'!$B:$C,2,FALSE)</f>
        <v>#N/A</v>
      </c>
      <c r="E229" s="137"/>
      <c r="F229" s="142"/>
      <c r="G229" s="106" t="e">
        <f>VLOOKUP(H229,'Input keuzevariabelen'!$F:$J,2,FALSE)</f>
        <v>#N/A</v>
      </c>
      <c r="H229" s="112"/>
      <c r="I229" s="332"/>
      <c r="J229" s="288" t="e">
        <f t="shared" si="9"/>
        <v>#N/A</v>
      </c>
      <c r="K229" s="107" t="e">
        <f>VLOOKUP(H229,'Input keuzevariabelen'!$F:$J,3,FALSE)</f>
        <v>#N/A</v>
      </c>
      <c r="L229" s="107">
        <f>SUMIFS('Input keuzevariabelen'!$I:$I,'Input keuzevariabelen'!$F:$F,Data!H229,'Input keuzevariabelen'!$K:$K,Data!E229)</f>
        <v>0</v>
      </c>
      <c r="M229" s="107" t="e">
        <f>VLOOKUP(H229,'Input keuzevariabelen'!$F:$J,5,FALSE)</f>
        <v>#N/A</v>
      </c>
      <c r="N229" s="284" t="e">
        <f t="shared" si="10"/>
        <v>#N/A</v>
      </c>
      <c r="O229" s="115"/>
      <c r="P229" s="115"/>
      <c r="Q229" s="116"/>
      <c r="R229" s="107">
        <f>SUMIFS('Input keuzevariabelen'!$P:$P,'Input keuzevariabelen'!$M:$M,Data!H229)</f>
        <v>0</v>
      </c>
      <c r="S229" s="291" t="e">
        <f t="shared" si="11"/>
        <v>#N/A</v>
      </c>
    </row>
    <row r="230" spans="3:19" ht="16.5" thickTop="1" thickBot="1" x14ac:dyDescent="0.25">
      <c r="C230" s="141"/>
      <c r="D230" s="257" t="e">
        <f>VLOOKUP(C230,'Input keuzevariabelen'!$B:$C,2,FALSE)</f>
        <v>#N/A</v>
      </c>
      <c r="E230" s="137"/>
      <c r="F230" s="142"/>
      <c r="G230" s="106" t="e">
        <f>VLOOKUP(H230,'Input keuzevariabelen'!$F:$J,2,FALSE)</f>
        <v>#N/A</v>
      </c>
      <c r="H230" s="112"/>
      <c r="I230" s="332"/>
      <c r="J230" s="288" t="e">
        <f t="shared" si="9"/>
        <v>#N/A</v>
      </c>
      <c r="K230" s="107" t="e">
        <f>VLOOKUP(H230,'Input keuzevariabelen'!$F:$J,3,FALSE)</f>
        <v>#N/A</v>
      </c>
      <c r="L230" s="107">
        <f>SUMIFS('Input keuzevariabelen'!$I:$I,'Input keuzevariabelen'!$F:$F,Data!H230,'Input keuzevariabelen'!$K:$K,Data!E230)</f>
        <v>0</v>
      </c>
      <c r="M230" s="107" t="e">
        <f>VLOOKUP(H230,'Input keuzevariabelen'!$F:$J,5,FALSE)</f>
        <v>#N/A</v>
      </c>
      <c r="N230" s="284" t="e">
        <f t="shared" si="10"/>
        <v>#N/A</v>
      </c>
      <c r="O230" s="115"/>
      <c r="P230" s="115"/>
      <c r="Q230" s="116"/>
      <c r="R230" s="107">
        <f>SUMIFS('Input keuzevariabelen'!$P:$P,'Input keuzevariabelen'!$M:$M,Data!H230)</f>
        <v>0</v>
      </c>
      <c r="S230" s="291" t="e">
        <f t="shared" si="11"/>
        <v>#N/A</v>
      </c>
    </row>
    <row r="231" spans="3:19" ht="16.5" thickTop="1" thickBot="1" x14ac:dyDescent="0.25">
      <c r="C231" s="141"/>
      <c r="D231" s="257" t="e">
        <f>VLOOKUP(C231,'Input keuzevariabelen'!$B:$C,2,FALSE)</f>
        <v>#N/A</v>
      </c>
      <c r="E231" s="137"/>
      <c r="F231" s="142"/>
      <c r="G231" s="106" t="e">
        <f>VLOOKUP(H231,'Input keuzevariabelen'!$F:$J,2,FALSE)</f>
        <v>#N/A</v>
      </c>
      <c r="H231" s="112"/>
      <c r="I231" s="332"/>
      <c r="J231" s="288" t="e">
        <f t="shared" si="9"/>
        <v>#N/A</v>
      </c>
      <c r="K231" s="107" t="e">
        <f>VLOOKUP(H231,'Input keuzevariabelen'!$F:$J,3,FALSE)</f>
        <v>#N/A</v>
      </c>
      <c r="L231" s="107">
        <f>SUMIFS('Input keuzevariabelen'!$I:$I,'Input keuzevariabelen'!$F:$F,Data!H231,'Input keuzevariabelen'!$K:$K,Data!E231)</f>
        <v>0</v>
      </c>
      <c r="M231" s="107" t="e">
        <f>VLOOKUP(H231,'Input keuzevariabelen'!$F:$J,5,FALSE)</f>
        <v>#N/A</v>
      </c>
      <c r="N231" s="284" t="e">
        <f t="shared" si="10"/>
        <v>#N/A</v>
      </c>
      <c r="O231" s="115"/>
      <c r="P231" s="115"/>
      <c r="Q231" s="116"/>
      <c r="R231" s="107">
        <f>SUMIFS('Input keuzevariabelen'!$P:$P,'Input keuzevariabelen'!$M:$M,Data!H231)</f>
        <v>0</v>
      </c>
      <c r="S231" s="291" t="e">
        <f t="shared" si="11"/>
        <v>#N/A</v>
      </c>
    </row>
    <row r="232" spans="3:19" ht="16.5" thickTop="1" thickBot="1" x14ac:dyDescent="0.25">
      <c r="C232" s="141"/>
      <c r="D232" s="257" t="e">
        <f>VLOOKUP(C232,'Input keuzevariabelen'!$B:$C,2,FALSE)</f>
        <v>#N/A</v>
      </c>
      <c r="E232" s="137"/>
      <c r="F232" s="142"/>
      <c r="G232" s="106" t="e">
        <f>VLOOKUP(H232,'Input keuzevariabelen'!$F:$J,2,FALSE)</f>
        <v>#N/A</v>
      </c>
      <c r="H232" s="112"/>
      <c r="I232" s="332"/>
      <c r="J232" s="288" t="e">
        <f t="shared" si="9"/>
        <v>#N/A</v>
      </c>
      <c r="K232" s="107" t="e">
        <f>VLOOKUP(H232,'Input keuzevariabelen'!$F:$J,3,FALSE)</f>
        <v>#N/A</v>
      </c>
      <c r="L232" s="107">
        <f>SUMIFS('Input keuzevariabelen'!$I:$I,'Input keuzevariabelen'!$F:$F,Data!H232,'Input keuzevariabelen'!$K:$K,Data!E232)</f>
        <v>0</v>
      </c>
      <c r="M232" s="107" t="e">
        <f>VLOOKUP(H232,'Input keuzevariabelen'!$F:$J,5,FALSE)</f>
        <v>#N/A</v>
      </c>
      <c r="N232" s="284" t="e">
        <f t="shared" si="10"/>
        <v>#N/A</v>
      </c>
      <c r="O232" s="115"/>
      <c r="P232" s="115"/>
      <c r="Q232" s="116"/>
      <c r="R232" s="107">
        <f>SUMIFS('Input keuzevariabelen'!$P:$P,'Input keuzevariabelen'!$M:$M,Data!H232)</f>
        <v>0</v>
      </c>
      <c r="S232" s="291" t="e">
        <f t="shared" si="11"/>
        <v>#N/A</v>
      </c>
    </row>
    <row r="233" spans="3:19" ht="16.5" thickTop="1" thickBot="1" x14ac:dyDescent="0.25">
      <c r="C233" s="141"/>
      <c r="D233" s="257" t="e">
        <f>VLOOKUP(C233,'Input keuzevariabelen'!$B:$C,2,FALSE)</f>
        <v>#N/A</v>
      </c>
      <c r="E233" s="137"/>
      <c r="F233" s="142"/>
      <c r="G233" s="106" t="e">
        <f>VLOOKUP(H233,'Input keuzevariabelen'!$F:$J,2,FALSE)</f>
        <v>#N/A</v>
      </c>
      <c r="H233" s="112"/>
      <c r="I233" s="332"/>
      <c r="J233" s="288" t="e">
        <f t="shared" si="9"/>
        <v>#N/A</v>
      </c>
      <c r="K233" s="107" t="e">
        <f>VLOOKUP(H233,'Input keuzevariabelen'!$F:$J,3,FALSE)</f>
        <v>#N/A</v>
      </c>
      <c r="L233" s="107">
        <f>SUMIFS('Input keuzevariabelen'!$I:$I,'Input keuzevariabelen'!$F:$F,Data!H233,'Input keuzevariabelen'!$K:$K,Data!E233)</f>
        <v>0</v>
      </c>
      <c r="M233" s="107" t="e">
        <f>VLOOKUP(H233,'Input keuzevariabelen'!$F:$J,5,FALSE)</f>
        <v>#N/A</v>
      </c>
      <c r="N233" s="284" t="e">
        <f t="shared" si="10"/>
        <v>#N/A</v>
      </c>
      <c r="O233" s="115"/>
      <c r="P233" s="115"/>
      <c r="Q233" s="116"/>
      <c r="R233" s="107">
        <f>SUMIFS('Input keuzevariabelen'!$P:$P,'Input keuzevariabelen'!$M:$M,Data!H233)</f>
        <v>0</v>
      </c>
      <c r="S233" s="291" t="e">
        <f t="shared" si="11"/>
        <v>#N/A</v>
      </c>
    </row>
    <row r="234" spans="3:19" ht="16.5" thickTop="1" thickBot="1" x14ac:dyDescent="0.25">
      <c r="C234" s="141"/>
      <c r="D234" s="257" t="e">
        <f>VLOOKUP(C234,'Input keuzevariabelen'!$B:$C,2,FALSE)</f>
        <v>#N/A</v>
      </c>
      <c r="E234" s="137"/>
      <c r="F234" s="142"/>
      <c r="G234" s="106" t="e">
        <f>VLOOKUP(H234,'Input keuzevariabelen'!$F:$J,2,FALSE)</f>
        <v>#N/A</v>
      </c>
      <c r="H234" s="112"/>
      <c r="I234" s="332"/>
      <c r="J234" s="288" t="e">
        <f t="shared" si="9"/>
        <v>#N/A</v>
      </c>
      <c r="K234" s="107" t="e">
        <f>VLOOKUP(H234,'Input keuzevariabelen'!$F:$J,3,FALSE)</f>
        <v>#N/A</v>
      </c>
      <c r="L234" s="107">
        <f>SUMIFS('Input keuzevariabelen'!$I:$I,'Input keuzevariabelen'!$F:$F,Data!H234,'Input keuzevariabelen'!$K:$K,Data!E234)</f>
        <v>0</v>
      </c>
      <c r="M234" s="107" t="e">
        <f>VLOOKUP(H234,'Input keuzevariabelen'!$F:$J,5,FALSE)</f>
        <v>#N/A</v>
      </c>
      <c r="N234" s="284" t="e">
        <f t="shared" si="10"/>
        <v>#N/A</v>
      </c>
      <c r="O234" s="115"/>
      <c r="P234" s="115"/>
      <c r="Q234" s="116"/>
      <c r="R234" s="107">
        <f>SUMIFS('Input keuzevariabelen'!$P:$P,'Input keuzevariabelen'!$M:$M,Data!H234)</f>
        <v>0</v>
      </c>
      <c r="S234" s="291" t="e">
        <f t="shared" si="11"/>
        <v>#N/A</v>
      </c>
    </row>
    <row r="235" spans="3:19" ht="16.5" thickTop="1" thickBot="1" x14ac:dyDescent="0.25">
      <c r="C235" s="141"/>
      <c r="D235" s="257" t="e">
        <f>VLOOKUP(C235,'Input keuzevariabelen'!$B:$C,2,FALSE)</f>
        <v>#N/A</v>
      </c>
      <c r="E235" s="137"/>
      <c r="F235" s="142"/>
      <c r="G235" s="106" t="e">
        <f>VLOOKUP(H235,'Input keuzevariabelen'!$F:$J,2,FALSE)</f>
        <v>#N/A</v>
      </c>
      <c r="H235" s="112"/>
      <c r="I235" s="332"/>
      <c r="J235" s="288" t="e">
        <f t="shared" si="9"/>
        <v>#N/A</v>
      </c>
      <c r="K235" s="107" t="e">
        <f>VLOOKUP(H235,'Input keuzevariabelen'!$F:$J,3,FALSE)</f>
        <v>#N/A</v>
      </c>
      <c r="L235" s="107">
        <f>SUMIFS('Input keuzevariabelen'!$I:$I,'Input keuzevariabelen'!$F:$F,Data!H235,'Input keuzevariabelen'!$K:$K,Data!E235)</f>
        <v>0</v>
      </c>
      <c r="M235" s="107" t="e">
        <f>VLOOKUP(H235,'Input keuzevariabelen'!$F:$J,5,FALSE)</f>
        <v>#N/A</v>
      </c>
      <c r="N235" s="284" t="e">
        <f t="shared" si="10"/>
        <v>#N/A</v>
      </c>
      <c r="O235" s="115"/>
      <c r="P235" s="115"/>
      <c r="Q235" s="116"/>
      <c r="R235" s="107">
        <f>SUMIFS('Input keuzevariabelen'!$P:$P,'Input keuzevariabelen'!$M:$M,Data!H235)</f>
        <v>0</v>
      </c>
      <c r="S235" s="291" t="e">
        <f t="shared" si="11"/>
        <v>#N/A</v>
      </c>
    </row>
    <row r="236" spans="3:19" ht="16.5" thickTop="1" thickBot="1" x14ac:dyDescent="0.25">
      <c r="C236" s="141"/>
      <c r="D236" s="257" t="e">
        <f>VLOOKUP(C236,'Input keuzevariabelen'!$B:$C,2,FALSE)</f>
        <v>#N/A</v>
      </c>
      <c r="E236" s="137"/>
      <c r="F236" s="142"/>
      <c r="G236" s="106" t="e">
        <f>VLOOKUP(H236,'Input keuzevariabelen'!$F:$J,2,FALSE)</f>
        <v>#N/A</v>
      </c>
      <c r="H236" s="112"/>
      <c r="I236" s="332"/>
      <c r="J236" s="288" t="e">
        <f t="shared" si="9"/>
        <v>#N/A</v>
      </c>
      <c r="K236" s="107" t="e">
        <f>VLOOKUP(H236,'Input keuzevariabelen'!$F:$J,3,FALSE)</f>
        <v>#N/A</v>
      </c>
      <c r="L236" s="107">
        <f>SUMIFS('Input keuzevariabelen'!$I:$I,'Input keuzevariabelen'!$F:$F,Data!H236,'Input keuzevariabelen'!$K:$K,Data!E236)</f>
        <v>0</v>
      </c>
      <c r="M236" s="107" t="e">
        <f>VLOOKUP(H236,'Input keuzevariabelen'!$F:$J,5,FALSE)</f>
        <v>#N/A</v>
      </c>
      <c r="N236" s="284" t="e">
        <f t="shared" si="10"/>
        <v>#N/A</v>
      </c>
      <c r="O236" s="115"/>
      <c r="P236" s="115"/>
      <c r="Q236" s="116"/>
      <c r="R236" s="107">
        <f>SUMIFS('Input keuzevariabelen'!$P:$P,'Input keuzevariabelen'!$M:$M,Data!H236)</f>
        <v>0</v>
      </c>
      <c r="S236" s="291" t="e">
        <f t="shared" si="11"/>
        <v>#N/A</v>
      </c>
    </row>
    <row r="237" spans="3:19" ht="16.5" thickTop="1" thickBot="1" x14ac:dyDescent="0.25">
      <c r="C237" s="141"/>
      <c r="D237" s="257" t="e">
        <f>VLOOKUP(C237,'Input keuzevariabelen'!$B:$C,2,FALSE)</f>
        <v>#N/A</v>
      </c>
      <c r="E237" s="137"/>
      <c r="F237" s="142"/>
      <c r="G237" s="106" t="e">
        <f>VLOOKUP(H237,'Input keuzevariabelen'!$F:$J,2,FALSE)</f>
        <v>#N/A</v>
      </c>
      <c r="H237" s="112"/>
      <c r="I237" s="332"/>
      <c r="J237" s="288" t="e">
        <f t="shared" si="9"/>
        <v>#N/A</v>
      </c>
      <c r="K237" s="107" t="e">
        <f>VLOOKUP(H237,'Input keuzevariabelen'!$F:$J,3,FALSE)</f>
        <v>#N/A</v>
      </c>
      <c r="L237" s="107">
        <f>SUMIFS('Input keuzevariabelen'!$I:$I,'Input keuzevariabelen'!$F:$F,Data!H237,'Input keuzevariabelen'!$K:$K,Data!E237)</f>
        <v>0</v>
      </c>
      <c r="M237" s="107" t="e">
        <f>VLOOKUP(H237,'Input keuzevariabelen'!$F:$J,5,FALSE)</f>
        <v>#N/A</v>
      </c>
      <c r="N237" s="284" t="e">
        <f t="shared" si="10"/>
        <v>#N/A</v>
      </c>
      <c r="O237" s="115"/>
      <c r="P237" s="115"/>
      <c r="Q237" s="116"/>
      <c r="R237" s="107">
        <f>SUMIFS('Input keuzevariabelen'!$P:$P,'Input keuzevariabelen'!$M:$M,Data!H237)</f>
        <v>0</v>
      </c>
      <c r="S237" s="291" t="e">
        <f t="shared" si="11"/>
        <v>#N/A</v>
      </c>
    </row>
    <row r="238" spans="3:19" ht="16.5" thickTop="1" thickBot="1" x14ac:dyDescent="0.25">
      <c r="C238" s="141"/>
      <c r="D238" s="257" t="e">
        <f>VLOOKUP(C238,'Input keuzevariabelen'!$B:$C,2,FALSE)</f>
        <v>#N/A</v>
      </c>
      <c r="E238" s="137"/>
      <c r="F238" s="142"/>
      <c r="G238" s="106" t="e">
        <f>VLOOKUP(H238,'Input keuzevariabelen'!$F:$J,2,FALSE)</f>
        <v>#N/A</v>
      </c>
      <c r="H238" s="112"/>
      <c r="I238" s="332"/>
      <c r="J238" s="288" t="e">
        <f t="shared" si="9"/>
        <v>#N/A</v>
      </c>
      <c r="K238" s="107" t="e">
        <f>VLOOKUP(H238,'Input keuzevariabelen'!$F:$J,3,FALSE)</f>
        <v>#N/A</v>
      </c>
      <c r="L238" s="107">
        <f>SUMIFS('Input keuzevariabelen'!$I:$I,'Input keuzevariabelen'!$F:$F,Data!H238,'Input keuzevariabelen'!$K:$K,Data!E238)</f>
        <v>0</v>
      </c>
      <c r="M238" s="107" t="e">
        <f>VLOOKUP(H238,'Input keuzevariabelen'!$F:$J,5,FALSE)</f>
        <v>#N/A</v>
      </c>
      <c r="N238" s="284" t="e">
        <f t="shared" si="10"/>
        <v>#N/A</v>
      </c>
      <c r="O238" s="115"/>
      <c r="P238" s="115"/>
      <c r="Q238" s="116"/>
      <c r="R238" s="107">
        <f>SUMIFS('Input keuzevariabelen'!$P:$P,'Input keuzevariabelen'!$M:$M,Data!H238)</f>
        <v>0</v>
      </c>
      <c r="S238" s="291" t="e">
        <f t="shared" si="11"/>
        <v>#N/A</v>
      </c>
    </row>
    <row r="239" spans="3:19" ht="16.5" thickTop="1" thickBot="1" x14ac:dyDescent="0.25">
      <c r="C239" s="141"/>
      <c r="D239" s="257" t="e">
        <f>VLOOKUP(C239,'Input keuzevariabelen'!$B:$C,2,FALSE)</f>
        <v>#N/A</v>
      </c>
      <c r="E239" s="137"/>
      <c r="F239" s="142"/>
      <c r="G239" s="106" t="e">
        <f>VLOOKUP(H239,'Input keuzevariabelen'!$F:$J,2,FALSE)</f>
        <v>#N/A</v>
      </c>
      <c r="H239" s="112"/>
      <c r="I239" s="332"/>
      <c r="J239" s="288" t="e">
        <f t="shared" si="9"/>
        <v>#N/A</v>
      </c>
      <c r="K239" s="107" t="e">
        <f>VLOOKUP(H239,'Input keuzevariabelen'!$F:$J,3,FALSE)</f>
        <v>#N/A</v>
      </c>
      <c r="L239" s="107">
        <f>SUMIFS('Input keuzevariabelen'!$I:$I,'Input keuzevariabelen'!$F:$F,Data!H239,'Input keuzevariabelen'!$K:$K,Data!E239)</f>
        <v>0</v>
      </c>
      <c r="M239" s="107" t="e">
        <f>VLOOKUP(H239,'Input keuzevariabelen'!$F:$J,5,FALSE)</f>
        <v>#N/A</v>
      </c>
      <c r="N239" s="284" t="e">
        <f t="shared" si="10"/>
        <v>#N/A</v>
      </c>
      <c r="O239" s="115"/>
      <c r="P239" s="115"/>
      <c r="Q239" s="116"/>
      <c r="R239" s="107">
        <f>SUMIFS('Input keuzevariabelen'!$P:$P,'Input keuzevariabelen'!$M:$M,Data!H239)</f>
        <v>0</v>
      </c>
      <c r="S239" s="291" t="e">
        <f t="shared" si="11"/>
        <v>#N/A</v>
      </c>
    </row>
    <row r="240" spans="3:19" ht="16.5" thickTop="1" thickBot="1" x14ac:dyDescent="0.25">
      <c r="C240" s="141"/>
      <c r="D240" s="257" t="e">
        <f>VLOOKUP(C240,'Input keuzevariabelen'!$B:$C,2,FALSE)</f>
        <v>#N/A</v>
      </c>
      <c r="E240" s="137"/>
      <c r="F240" s="142"/>
      <c r="G240" s="106" t="e">
        <f>VLOOKUP(H240,'Input keuzevariabelen'!$F:$J,2,FALSE)</f>
        <v>#N/A</v>
      </c>
      <c r="H240" s="112"/>
      <c r="I240" s="332"/>
      <c r="J240" s="288" t="e">
        <f t="shared" si="9"/>
        <v>#N/A</v>
      </c>
      <c r="K240" s="107" t="e">
        <f>VLOOKUP(H240,'Input keuzevariabelen'!$F:$J,3,FALSE)</f>
        <v>#N/A</v>
      </c>
      <c r="L240" s="107">
        <f>SUMIFS('Input keuzevariabelen'!$I:$I,'Input keuzevariabelen'!$F:$F,Data!H240,'Input keuzevariabelen'!$K:$K,Data!E240)</f>
        <v>0</v>
      </c>
      <c r="M240" s="107" t="e">
        <f>VLOOKUP(H240,'Input keuzevariabelen'!$F:$J,5,FALSE)</f>
        <v>#N/A</v>
      </c>
      <c r="N240" s="284" t="e">
        <f t="shared" si="10"/>
        <v>#N/A</v>
      </c>
      <c r="O240" s="115"/>
      <c r="P240" s="115"/>
      <c r="Q240" s="116"/>
      <c r="R240" s="107">
        <f>SUMIFS('Input keuzevariabelen'!$P:$P,'Input keuzevariabelen'!$M:$M,Data!H240)</f>
        <v>0</v>
      </c>
      <c r="S240" s="291" t="e">
        <f t="shared" si="11"/>
        <v>#N/A</v>
      </c>
    </row>
    <row r="241" spans="3:19" ht="16.5" thickTop="1" thickBot="1" x14ac:dyDescent="0.25">
      <c r="C241" s="141"/>
      <c r="D241" s="257" t="e">
        <f>VLOOKUP(C241,'Input keuzevariabelen'!$B:$C,2,FALSE)</f>
        <v>#N/A</v>
      </c>
      <c r="E241" s="137"/>
      <c r="F241" s="142"/>
      <c r="G241" s="106" t="e">
        <f>VLOOKUP(H241,'Input keuzevariabelen'!$F:$J,2,FALSE)</f>
        <v>#N/A</v>
      </c>
      <c r="H241" s="112"/>
      <c r="I241" s="332"/>
      <c r="J241" s="288" t="e">
        <f t="shared" si="9"/>
        <v>#N/A</v>
      </c>
      <c r="K241" s="107" t="e">
        <f>VLOOKUP(H241,'Input keuzevariabelen'!$F:$J,3,FALSE)</f>
        <v>#N/A</v>
      </c>
      <c r="L241" s="107">
        <f>SUMIFS('Input keuzevariabelen'!$I:$I,'Input keuzevariabelen'!$F:$F,Data!H241,'Input keuzevariabelen'!$K:$K,Data!E241)</f>
        <v>0</v>
      </c>
      <c r="M241" s="107" t="e">
        <f>VLOOKUP(H241,'Input keuzevariabelen'!$F:$J,5,FALSE)</f>
        <v>#N/A</v>
      </c>
      <c r="N241" s="284" t="e">
        <f t="shared" si="10"/>
        <v>#N/A</v>
      </c>
      <c r="O241" s="115"/>
      <c r="P241" s="115"/>
      <c r="Q241" s="116"/>
      <c r="R241" s="107">
        <f>SUMIFS('Input keuzevariabelen'!$P:$P,'Input keuzevariabelen'!$M:$M,Data!H241)</f>
        <v>0</v>
      </c>
      <c r="S241" s="291" t="e">
        <f t="shared" si="11"/>
        <v>#N/A</v>
      </c>
    </row>
    <row r="242" spans="3:19" ht="16.5" thickTop="1" thickBot="1" x14ac:dyDescent="0.25">
      <c r="C242" s="141"/>
      <c r="D242" s="257" t="e">
        <f>VLOOKUP(C242,'Input keuzevariabelen'!$B:$C,2,FALSE)</f>
        <v>#N/A</v>
      </c>
      <c r="E242" s="137"/>
      <c r="F242" s="142"/>
      <c r="G242" s="106" t="e">
        <f>VLOOKUP(H242,'Input keuzevariabelen'!$F:$J,2,FALSE)</f>
        <v>#N/A</v>
      </c>
      <c r="H242" s="112"/>
      <c r="I242" s="332"/>
      <c r="J242" s="288" t="e">
        <f t="shared" si="9"/>
        <v>#N/A</v>
      </c>
      <c r="K242" s="107" t="e">
        <f>VLOOKUP(H242,'Input keuzevariabelen'!$F:$J,3,FALSE)</f>
        <v>#N/A</v>
      </c>
      <c r="L242" s="107">
        <f>SUMIFS('Input keuzevariabelen'!$I:$I,'Input keuzevariabelen'!$F:$F,Data!H242,'Input keuzevariabelen'!$K:$K,Data!E242)</f>
        <v>0</v>
      </c>
      <c r="M242" s="107" t="e">
        <f>VLOOKUP(H242,'Input keuzevariabelen'!$F:$J,5,FALSE)</f>
        <v>#N/A</v>
      </c>
      <c r="N242" s="284" t="e">
        <f t="shared" si="10"/>
        <v>#N/A</v>
      </c>
      <c r="O242" s="115"/>
      <c r="P242" s="115"/>
      <c r="Q242" s="116"/>
      <c r="R242" s="107">
        <f>SUMIFS('Input keuzevariabelen'!$P:$P,'Input keuzevariabelen'!$M:$M,Data!H242)</f>
        <v>0</v>
      </c>
      <c r="S242" s="291" t="e">
        <f t="shared" si="11"/>
        <v>#N/A</v>
      </c>
    </row>
    <row r="243" spans="3:19" ht="16.5" thickTop="1" thickBot="1" x14ac:dyDescent="0.25">
      <c r="C243" s="141"/>
      <c r="D243" s="257" t="e">
        <f>VLOOKUP(C243,'Input keuzevariabelen'!$B:$C,2,FALSE)</f>
        <v>#N/A</v>
      </c>
      <c r="E243" s="137"/>
      <c r="F243" s="142"/>
      <c r="G243" s="106" t="e">
        <f>VLOOKUP(H243,'Input keuzevariabelen'!$F:$J,2,FALSE)</f>
        <v>#N/A</v>
      </c>
      <c r="H243" s="112"/>
      <c r="I243" s="332"/>
      <c r="J243" s="288" t="e">
        <f t="shared" si="9"/>
        <v>#N/A</v>
      </c>
      <c r="K243" s="107" t="e">
        <f>VLOOKUP(H243,'Input keuzevariabelen'!$F:$J,3,FALSE)</f>
        <v>#N/A</v>
      </c>
      <c r="L243" s="107">
        <f>SUMIFS('Input keuzevariabelen'!$I:$I,'Input keuzevariabelen'!$F:$F,Data!H243,'Input keuzevariabelen'!$K:$K,Data!E243)</f>
        <v>0</v>
      </c>
      <c r="M243" s="107" t="e">
        <f>VLOOKUP(H243,'Input keuzevariabelen'!$F:$J,5,FALSE)</f>
        <v>#N/A</v>
      </c>
      <c r="N243" s="284" t="e">
        <f t="shared" si="10"/>
        <v>#N/A</v>
      </c>
      <c r="O243" s="115"/>
      <c r="P243" s="115"/>
      <c r="Q243" s="116"/>
      <c r="R243" s="107">
        <f>SUMIFS('Input keuzevariabelen'!$P:$P,'Input keuzevariabelen'!$M:$M,Data!H243)</f>
        <v>0</v>
      </c>
      <c r="S243" s="291" t="e">
        <f t="shared" si="11"/>
        <v>#N/A</v>
      </c>
    </row>
    <row r="244" spans="3:19" ht="16.5" thickTop="1" thickBot="1" x14ac:dyDescent="0.25">
      <c r="C244" s="141"/>
      <c r="D244" s="257" t="e">
        <f>VLOOKUP(C244,'Input keuzevariabelen'!$B:$C,2,FALSE)</f>
        <v>#N/A</v>
      </c>
      <c r="E244" s="137"/>
      <c r="F244" s="142"/>
      <c r="G244" s="106" t="e">
        <f>VLOOKUP(H244,'Input keuzevariabelen'!$F:$J,2,FALSE)</f>
        <v>#N/A</v>
      </c>
      <c r="H244" s="112"/>
      <c r="I244" s="332"/>
      <c r="J244" s="288" t="e">
        <f t="shared" si="9"/>
        <v>#N/A</v>
      </c>
      <c r="K244" s="107" t="e">
        <f>VLOOKUP(H244,'Input keuzevariabelen'!$F:$J,3,FALSE)</f>
        <v>#N/A</v>
      </c>
      <c r="L244" s="107">
        <f>SUMIFS('Input keuzevariabelen'!$I:$I,'Input keuzevariabelen'!$F:$F,Data!H244,'Input keuzevariabelen'!$K:$K,Data!E244)</f>
        <v>0</v>
      </c>
      <c r="M244" s="107" t="e">
        <f>VLOOKUP(H244,'Input keuzevariabelen'!$F:$J,5,FALSE)</f>
        <v>#N/A</v>
      </c>
      <c r="N244" s="284" t="e">
        <f t="shared" si="10"/>
        <v>#N/A</v>
      </c>
      <c r="O244" s="115"/>
      <c r="P244" s="115"/>
      <c r="Q244" s="116"/>
      <c r="R244" s="107">
        <f>SUMIFS('Input keuzevariabelen'!$P:$P,'Input keuzevariabelen'!$M:$M,Data!H244)</f>
        <v>0</v>
      </c>
      <c r="S244" s="291" t="e">
        <f t="shared" si="11"/>
        <v>#N/A</v>
      </c>
    </row>
    <row r="245" spans="3:19" ht="16.5" thickTop="1" thickBot="1" x14ac:dyDescent="0.25">
      <c r="C245" s="141"/>
      <c r="D245" s="257" t="e">
        <f>VLOOKUP(C245,'Input keuzevariabelen'!$B:$C,2,FALSE)</f>
        <v>#N/A</v>
      </c>
      <c r="E245" s="137"/>
      <c r="F245" s="142"/>
      <c r="G245" s="106" t="e">
        <f>VLOOKUP(H245,'Input keuzevariabelen'!$F:$J,2,FALSE)</f>
        <v>#N/A</v>
      </c>
      <c r="H245" s="112"/>
      <c r="I245" s="332"/>
      <c r="J245" s="288" t="e">
        <f t="shared" si="9"/>
        <v>#N/A</v>
      </c>
      <c r="K245" s="107" t="e">
        <f>VLOOKUP(H245,'Input keuzevariabelen'!$F:$J,3,FALSE)</f>
        <v>#N/A</v>
      </c>
      <c r="L245" s="107">
        <f>SUMIFS('Input keuzevariabelen'!$I:$I,'Input keuzevariabelen'!$F:$F,Data!H245,'Input keuzevariabelen'!$K:$K,Data!E245)</f>
        <v>0</v>
      </c>
      <c r="M245" s="107" t="e">
        <f>VLOOKUP(H245,'Input keuzevariabelen'!$F:$J,5,FALSE)</f>
        <v>#N/A</v>
      </c>
      <c r="N245" s="284" t="e">
        <f t="shared" si="10"/>
        <v>#N/A</v>
      </c>
      <c r="O245" s="115"/>
      <c r="P245" s="115"/>
      <c r="Q245" s="116"/>
      <c r="R245" s="107">
        <f>SUMIFS('Input keuzevariabelen'!$P:$P,'Input keuzevariabelen'!$M:$M,Data!H245)</f>
        <v>0</v>
      </c>
      <c r="S245" s="291" t="e">
        <f t="shared" si="11"/>
        <v>#N/A</v>
      </c>
    </row>
    <row r="246" spans="3:19" ht="16.5" thickTop="1" thickBot="1" x14ac:dyDescent="0.25">
      <c r="C246" s="141"/>
      <c r="D246" s="257" t="e">
        <f>VLOOKUP(C246,'Input keuzevariabelen'!$B:$C,2,FALSE)</f>
        <v>#N/A</v>
      </c>
      <c r="E246" s="137"/>
      <c r="F246" s="142"/>
      <c r="G246" s="106" t="e">
        <f>VLOOKUP(H246,'Input keuzevariabelen'!$F:$J,2,FALSE)</f>
        <v>#N/A</v>
      </c>
      <c r="H246" s="112"/>
      <c r="I246" s="332"/>
      <c r="J246" s="288" t="e">
        <f t="shared" si="9"/>
        <v>#N/A</v>
      </c>
      <c r="K246" s="107" t="e">
        <f>VLOOKUP(H246,'Input keuzevariabelen'!$F:$J,3,FALSE)</f>
        <v>#N/A</v>
      </c>
      <c r="L246" s="107">
        <f>SUMIFS('Input keuzevariabelen'!$I:$I,'Input keuzevariabelen'!$F:$F,Data!H246,'Input keuzevariabelen'!$K:$K,Data!E246)</f>
        <v>0</v>
      </c>
      <c r="M246" s="107" t="e">
        <f>VLOOKUP(H246,'Input keuzevariabelen'!$F:$J,5,FALSE)</f>
        <v>#N/A</v>
      </c>
      <c r="N246" s="284" t="e">
        <f t="shared" si="10"/>
        <v>#N/A</v>
      </c>
      <c r="O246" s="115"/>
      <c r="P246" s="115"/>
      <c r="Q246" s="116"/>
      <c r="R246" s="107">
        <f>SUMIFS('Input keuzevariabelen'!$P:$P,'Input keuzevariabelen'!$M:$M,Data!H246)</f>
        <v>0</v>
      </c>
      <c r="S246" s="291" t="e">
        <f t="shared" si="11"/>
        <v>#N/A</v>
      </c>
    </row>
    <row r="247" spans="3:19" ht="16.5" thickTop="1" thickBot="1" x14ac:dyDescent="0.25">
      <c r="C247" s="141"/>
      <c r="D247" s="257" t="e">
        <f>VLOOKUP(C247,'Input keuzevariabelen'!$B:$C,2,FALSE)</f>
        <v>#N/A</v>
      </c>
      <c r="E247" s="137"/>
      <c r="F247" s="142"/>
      <c r="G247" s="106" t="e">
        <f>VLOOKUP(H247,'Input keuzevariabelen'!$F:$J,2,FALSE)</f>
        <v>#N/A</v>
      </c>
      <c r="H247" s="112"/>
      <c r="I247" s="332"/>
      <c r="J247" s="288" t="e">
        <f t="shared" si="9"/>
        <v>#N/A</v>
      </c>
      <c r="K247" s="107" t="e">
        <f>VLOOKUP(H247,'Input keuzevariabelen'!$F:$J,3,FALSE)</f>
        <v>#N/A</v>
      </c>
      <c r="L247" s="107">
        <f>SUMIFS('Input keuzevariabelen'!$I:$I,'Input keuzevariabelen'!$F:$F,Data!H247,'Input keuzevariabelen'!$K:$K,Data!E247)</f>
        <v>0</v>
      </c>
      <c r="M247" s="107" t="e">
        <f>VLOOKUP(H247,'Input keuzevariabelen'!$F:$J,5,FALSE)</f>
        <v>#N/A</v>
      </c>
      <c r="N247" s="284" t="e">
        <f t="shared" si="10"/>
        <v>#N/A</v>
      </c>
      <c r="O247" s="115"/>
      <c r="P247" s="115"/>
      <c r="Q247" s="116"/>
      <c r="R247" s="107">
        <f>SUMIFS('Input keuzevariabelen'!$P:$P,'Input keuzevariabelen'!$M:$M,Data!H247)</f>
        <v>0</v>
      </c>
      <c r="S247" s="291" t="e">
        <f t="shared" si="11"/>
        <v>#N/A</v>
      </c>
    </row>
    <row r="248" spans="3:19" ht="16.5" thickTop="1" thickBot="1" x14ac:dyDescent="0.25">
      <c r="C248" s="141"/>
      <c r="D248" s="257" t="e">
        <f>VLOOKUP(C248,'Input keuzevariabelen'!$B:$C,2,FALSE)</f>
        <v>#N/A</v>
      </c>
      <c r="E248" s="137"/>
      <c r="F248" s="142"/>
      <c r="G248" s="106" t="e">
        <f>VLOOKUP(H248,'Input keuzevariabelen'!$F:$J,2,FALSE)</f>
        <v>#N/A</v>
      </c>
      <c r="H248" s="112"/>
      <c r="I248" s="332"/>
      <c r="J248" s="288" t="e">
        <f t="shared" si="9"/>
        <v>#N/A</v>
      </c>
      <c r="K248" s="107" t="e">
        <f>VLOOKUP(H248,'Input keuzevariabelen'!$F:$J,3,FALSE)</f>
        <v>#N/A</v>
      </c>
      <c r="L248" s="107">
        <f>SUMIFS('Input keuzevariabelen'!$I:$I,'Input keuzevariabelen'!$F:$F,Data!H248,'Input keuzevariabelen'!$K:$K,Data!E248)</f>
        <v>0</v>
      </c>
      <c r="M248" s="107" t="e">
        <f>VLOOKUP(H248,'Input keuzevariabelen'!$F:$J,5,FALSE)</f>
        <v>#N/A</v>
      </c>
      <c r="N248" s="284" t="e">
        <f t="shared" si="10"/>
        <v>#N/A</v>
      </c>
      <c r="O248" s="115"/>
      <c r="P248" s="115"/>
      <c r="Q248" s="116"/>
      <c r="R248" s="107">
        <f>SUMIFS('Input keuzevariabelen'!$P:$P,'Input keuzevariabelen'!$M:$M,Data!H248)</f>
        <v>0</v>
      </c>
      <c r="S248" s="291" t="e">
        <f t="shared" si="11"/>
        <v>#N/A</v>
      </c>
    </row>
    <row r="249" spans="3:19" ht="16.5" thickTop="1" thickBot="1" x14ac:dyDescent="0.25">
      <c r="C249" s="141"/>
      <c r="D249" s="257" t="e">
        <f>VLOOKUP(C249,'Input keuzevariabelen'!$B:$C,2,FALSE)</f>
        <v>#N/A</v>
      </c>
      <c r="E249" s="137"/>
      <c r="F249" s="142"/>
      <c r="G249" s="106" t="e">
        <f>VLOOKUP(H249,'Input keuzevariabelen'!$F:$J,2,FALSE)</f>
        <v>#N/A</v>
      </c>
      <c r="H249" s="112"/>
      <c r="I249" s="332"/>
      <c r="J249" s="288" t="e">
        <f t="shared" si="9"/>
        <v>#N/A</v>
      </c>
      <c r="K249" s="107" t="e">
        <f>VLOOKUP(H249,'Input keuzevariabelen'!$F:$J,3,FALSE)</f>
        <v>#N/A</v>
      </c>
      <c r="L249" s="107">
        <f>SUMIFS('Input keuzevariabelen'!$I:$I,'Input keuzevariabelen'!$F:$F,Data!H249,'Input keuzevariabelen'!$K:$K,Data!E249)</f>
        <v>0</v>
      </c>
      <c r="M249" s="107" t="e">
        <f>VLOOKUP(H249,'Input keuzevariabelen'!$F:$J,5,FALSE)</f>
        <v>#N/A</v>
      </c>
      <c r="N249" s="284" t="e">
        <f t="shared" si="10"/>
        <v>#N/A</v>
      </c>
      <c r="O249" s="115"/>
      <c r="P249" s="115"/>
      <c r="Q249" s="116"/>
      <c r="R249" s="107">
        <f>SUMIFS('Input keuzevariabelen'!$P:$P,'Input keuzevariabelen'!$M:$M,Data!H249)</f>
        <v>0</v>
      </c>
      <c r="S249" s="291" t="e">
        <f t="shared" si="11"/>
        <v>#N/A</v>
      </c>
    </row>
    <row r="250" spans="3:19" ht="16.5" thickTop="1" thickBot="1" x14ac:dyDescent="0.25">
      <c r="C250" s="141"/>
      <c r="D250" s="257" t="e">
        <f>VLOOKUP(C250,'Input keuzevariabelen'!$B:$C,2,FALSE)</f>
        <v>#N/A</v>
      </c>
      <c r="E250" s="137"/>
      <c r="F250" s="142"/>
      <c r="G250" s="106" t="e">
        <f>VLOOKUP(H250,'Input keuzevariabelen'!$F:$J,2,FALSE)</f>
        <v>#N/A</v>
      </c>
      <c r="H250" s="112"/>
      <c r="I250" s="332"/>
      <c r="J250" s="288" t="e">
        <f t="shared" si="9"/>
        <v>#N/A</v>
      </c>
      <c r="K250" s="107" t="e">
        <f>VLOOKUP(H250,'Input keuzevariabelen'!$F:$J,3,FALSE)</f>
        <v>#N/A</v>
      </c>
      <c r="L250" s="107">
        <f>SUMIFS('Input keuzevariabelen'!$I:$I,'Input keuzevariabelen'!$F:$F,Data!H250,'Input keuzevariabelen'!$K:$K,Data!E250)</f>
        <v>0</v>
      </c>
      <c r="M250" s="107" t="e">
        <f>VLOOKUP(H250,'Input keuzevariabelen'!$F:$J,5,FALSE)</f>
        <v>#N/A</v>
      </c>
      <c r="N250" s="284" t="e">
        <f t="shared" si="10"/>
        <v>#N/A</v>
      </c>
      <c r="O250" s="115"/>
      <c r="P250" s="115"/>
      <c r="Q250" s="116"/>
      <c r="R250" s="107">
        <f>SUMIFS('Input keuzevariabelen'!$P:$P,'Input keuzevariabelen'!$M:$M,Data!H250)</f>
        <v>0</v>
      </c>
      <c r="S250" s="291" t="e">
        <f t="shared" si="11"/>
        <v>#N/A</v>
      </c>
    </row>
    <row r="251" spans="3:19" ht="16.5" thickTop="1" thickBot="1" x14ac:dyDescent="0.25">
      <c r="C251" s="141"/>
      <c r="D251" s="257" t="e">
        <f>VLOOKUP(C251,'Input keuzevariabelen'!$B:$C,2,FALSE)</f>
        <v>#N/A</v>
      </c>
      <c r="E251" s="137"/>
      <c r="F251" s="142"/>
      <c r="G251" s="106" t="e">
        <f>VLOOKUP(H251,'Input keuzevariabelen'!$F:$J,2,FALSE)</f>
        <v>#N/A</v>
      </c>
      <c r="H251" s="112"/>
      <c r="I251" s="332"/>
      <c r="J251" s="288" t="e">
        <f t="shared" si="9"/>
        <v>#N/A</v>
      </c>
      <c r="K251" s="107" t="e">
        <f>VLOOKUP(H251,'Input keuzevariabelen'!$F:$J,3,FALSE)</f>
        <v>#N/A</v>
      </c>
      <c r="L251" s="107">
        <f>SUMIFS('Input keuzevariabelen'!$I:$I,'Input keuzevariabelen'!$F:$F,Data!H251,'Input keuzevariabelen'!$K:$K,Data!E251)</f>
        <v>0</v>
      </c>
      <c r="M251" s="107" t="e">
        <f>VLOOKUP(H251,'Input keuzevariabelen'!$F:$J,5,FALSE)</f>
        <v>#N/A</v>
      </c>
      <c r="N251" s="284" t="e">
        <f t="shared" si="10"/>
        <v>#N/A</v>
      </c>
      <c r="O251" s="115"/>
      <c r="P251" s="115"/>
      <c r="Q251" s="116"/>
      <c r="R251" s="107">
        <f>SUMIFS('Input keuzevariabelen'!$P:$P,'Input keuzevariabelen'!$M:$M,Data!H251)</f>
        <v>0</v>
      </c>
      <c r="S251" s="291" t="e">
        <f t="shared" si="11"/>
        <v>#N/A</v>
      </c>
    </row>
    <row r="252" spans="3:19" ht="16.5" thickTop="1" thickBot="1" x14ac:dyDescent="0.25">
      <c r="C252" s="141"/>
      <c r="D252" s="257" t="e">
        <f>VLOOKUP(C252,'Input keuzevariabelen'!$B:$C,2,FALSE)</f>
        <v>#N/A</v>
      </c>
      <c r="E252" s="137"/>
      <c r="F252" s="142"/>
      <c r="G252" s="106" t="e">
        <f>VLOOKUP(H252,'Input keuzevariabelen'!$F:$J,2,FALSE)</f>
        <v>#N/A</v>
      </c>
      <c r="H252" s="112"/>
      <c r="I252" s="332"/>
      <c r="J252" s="288" t="e">
        <f t="shared" si="9"/>
        <v>#N/A</v>
      </c>
      <c r="K252" s="107" t="e">
        <f>VLOOKUP(H252,'Input keuzevariabelen'!$F:$J,3,FALSE)</f>
        <v>#N/A</v>
      </c>
      <c r="L252" s="107">
        <f>SUMIFS('Input keuzevariabelen'!$I:$I,'Input keuzevariabelen'!$F:$F,Data!H252,'Input keuzevariabelen'!$K:$K,Data!E252)</f>
        <v>0</v>
      </c>
      <c r="M252" s="107" t="e">
        <f>VLOOKUP(H252,'Input keuzevariabelen'!$F:$J,5,FALSE)</f>
        <v>#N/A</v>
      </c>
      <c r="N252" s="284" t="e">
        <f t="shared" si="10"/>
        <v>#N/A</v>
      </c>
      <c r="O252" s="115"/>
      <c r="P252" s="115"/>
      <c r="Q252" s="116"/>
      <c r="R252" s="107">
        <f>SUMIFS('Input keuzevariabelen'!$P:$P,'Input keuzevariabelen'!$M:$M,Data!H252)</f>
        <v>0</v>
      </c>
      <c r="S252" s="291" t="e">
        <f t="shared" si="11"/>
        <v>#N/A</v>
      </c>
    </row>
    <row r="253" spans="3:19" ht="16.5" thickTop="1" thickBot="1" x14ac:dyDescent="0.25">
      <c r="C253" s="141"/>
      <c r="D253" s="257" t="e">
        <f>VLOOKUP(C253,'Input keuzevariabelen'!$B:$C,2,FALSE)</f>
        <v>#N/A</v>
      </c>
      <c r="E253" s="137"/>
      <c r="F253" s="142"/>
      <c r="G253" s="106" t="e">
        <f>VLOOKUP(H253,'Input keuzevariabelen'!$F:$J,2,FALSE)</f>
        <v>#N/A</v>
      </c>
      <c r="H253" s="112"/>
      <c r="I253" s="332"/>
      <c r="J253" s="288" t="e">
        <f t="shared" si="9"/>
        <v>#N/A</v>
      </c>
      <c r="K253" s="107" t="e">
        <f>VLOOKUP(H253,'Input keuzevariabelen'!$F:$J,3,FALSE)</f>
        <v>#N/A</v>
      </c>
      <c r="L253" s="107">
        <f>SUMIFS('Input keuzevariabelen'!$I:$I,'Input keuzevariabelen'!$F:$F,Data!H253,'Input keuzevariabelen'!$K:$K,Data!E253)</f>
        <v>0</v>
      </c>
      <c r="M253" s="107" t="e">
        <f>VLOOKUP(H253,'Input keuzevariabelen'!$F:$J,5,FALSE)</f>
        <v>#N/A</v>
      </c>
      <c r="N253" s="284" t="e">
        <f t="shared" si="10"/>
        <v>#N/A</v>
      </c>
      <c r="O253" s="115"/>
      <c r="P253" s="115"/>
      <c r="Q253" s="116"/>
      <c r="R253" s="107">
        <f>SUMIFS('Input keuzevariabelen'!$P:$P,'Input keuzevariabelen'!$M:$M,Data!H253)</f>
        <v>0</v>
      </c>
      <c r="S253" s="291" t="e">
        <f t="shared" si="11"/>
        <v>#N/A</v>
      </c>
    </row>
    <row r="254" spans="3:19" ht="16.5" thickTop="1" thickBot="1" x14ac:dyDescent="0.25">
      <c r="C254" s="141"/>
      <c r="D254" s="257" t="e">
        <f>VLOOKUP(C254,'Input keuzevariabelen'!$B:$C,2,FALSE)</f>
        <v>#N/A</v>
      </c>
      <c r="E254" s="137"/>
      <c r="F254" s="142"/>
      <c r="G254" s="106" t="e">
        <f>VLOOKUP(H254,'Input keuzevariabelen'!$F:$J,2,FALSE)</f>
        <v>#N/A</v>
      </c>
      <c r="H254" s="112"/>
      <c r="I254" s="332"/>
      <c r="J254" s="288" t="e">
        <f t="shared" si="9"/>
        <v>#N/A</v>
      </c>
      <c r="K254" s="107" t="e">
        <f>VLOOKUP(H254,'Input keuzevariabelen'!$F:$J,3,FALSE)</f>
        <v>#N/A</v>
      </c>
      <c r="L254" s="107">
        <f>SUMIFS('Input keuzevariabelen'!$I:$I,'Input keuzevariabelen'!$F:$F,Data!H254,'Input keuzevariabelen'!$K:$K,Data!E254)</f>
        <v>0</v>
      </c>
      <c r="M254" s="107" t="e">
        <f>VLOOKUP(H254,'Input keuzevariabelen'!$F:$J,5,FALSE)</f>
        <v>#N/A</v>
      </c>
      <c r="N254" s="284" t="e">
        <f t="shared" si="10"/>
        <v>#N/A</v>
      </c>
      <c r="O254" s="115"/>
      <c r="P254" s="115"/>
      <c r="Q254" s="116"/>
      <c r="R254" s="107">
        <f>SUMIFS('Input keuzevariabelen'!$P:$P,'Input keuzevariabelen'!$M:$M,Data!H254)</f>
        <v>0</v>
      </c>
      <c r="S254" s="291" t="e">
        <f t="shared" si="11"/>
        <v>#N/A</v>
      </c>
    </row>
    <row r="255" spans="3:19" ht="16.5" thickTop="1" thickBot="1" x14ac:dyDescent="0.25">
      <c r="C255" s="141"/>
      <c r="D255" s="257" t="e">
        <f>VLOOKUP(C255,'Input keuzevariabelen'!$B:$C,2,FALSE)</f>
        <v>#N/A</v>
      </c>
      <c r="E255" s="137"/>
      <c r="F255" s="142"/>
      <c r="G255" s="106" t="e">
        <f>VLOOKUP(H255,'Input keuzevariabelen'!$F:$J,2,FALSE)</f>
        <v>#N/A</v>
      </c>
      <c r="H255" s="112"/>
      <c r="I255" s="332"/>
      <c r="J255" s="288" t="e">
        <f t="shared" si="9"/>
        <v>#N/A</v>
      </c>
      <c r="K255" s="107" t="e">
        <f>VLOOKUP(H255,'Input keuzevariabelen'!$F:$J,3,FALSE)</f>
        <v>#N/A</v>
      </c>
      <c r="L255" s="107">
        <f>SUMIFS('Input keuzevariabelen'!$I:$I,'Input keuzevariabelen'!$F:$F,Data!H255,'Input keuzevariabelen'!$K:$K,Data!E255)</f>
        <v>0</v>
      </c>
      <c r="M255" s="107" t="e">
        <f>VLOOKUP(H255,'Input keuzevariabelen'!$F:$J,5,FALSE)</f>
        <v>#N/A</v>
      </c>
      <c r="N255" s="284" t="e">
        <f t="shared" si="10"/>
        <v>#N/A</v>
      </c>
      <c r="O255" s="115"/>
      <c r="P255" s="115"/>
      <c r="Q255" s="116"/>
      <c r="R255" s="107">
        <f>SUMIFS('Input keuzevariabelen'!$P:$P,'Input keuzevariabelen'!$M:$M,Data!H255)</f>
        <v>0</v>
      </c>
      <c r="S255" s="291" t="e">
        <f t="shared" si="11"/>
        <v>#N/A</v>
      </c>
    </row>
    <row r="256" spans="3:19" ht="16.5" thickTop="1" thickBot="1" x14ac:dyDescent="0.25">
      <c r="C256" s="141"/>
      <c r="D256" s="257" t="e">
        <f>VLOOKUP(C256,'Input keuzevariabelen'!$B:$C,2,FALSE)</f>
        <v>#N/A</v>
      </c>
      <c r="E256" s="137"/>
      <c r="F256" s="142"/>
      <c r="G256" s="106" t="e">
        <f>VLOOKUP(H256,'Input keuzevariabelen'!$F:$J,2,FALSE)</f>
        <v>#N/A</v>
      </c>
      <c r="H256" s="112"/>
      <c r="I256" s="332"/>
      <c r="J256" s="288" t="e">
        <f t="shared" si="9"/>
        <v>#N/A</v>
      </c>
      <c r="K256" s="107" t="e">
        <f>VLOOKUP(H256,'Input keuzevariabelen'!$F:$J,3,FALSE)</f>
        <v>#N/A</v>
      </c>
      <c r="L256" s="107">
        <f>SUMIFS('Input keuzevariabelen'!$I:$I,'Input keuzevariabelen'!$F:$F,Data!H256,'Input keuzevariabelen'!$K:$K,Data!E256)</f>
        <v>0</v>
      </c>
      <c r="M256" s="107" t="e">
        <f>VLOOKUP(H256,'Input keuzevariabelen'!$F:$J,5,FALSE)</f>
        <v>#N/A</v>
      </c>
      <c r="N256" s="284" t="e">
        <f t="shared" si="10"/>
        <v>#N/A</v>
      </c>
      <c r="O256" s="115"/>
      <c r="P256" s="115"/>
      <c r="Q256" s="116"/>
      <c r="R256" s="107">
        <f>SUMIFS('Input keuzevariabelen'!$P:$P,'Input keuzevariabelen'!$M:$M,Data!H256)</f>
        <v>0</v>
      </c>
      <c r="S256" s="291" t="e">
        <f t="shared" si="11"/>
        <v>#N/A</v>
      </c>
    </row>
    <row r="257" spans="3:19" ht="16.5" thickTop="1" thickBot="1" x14ac:dyDescent="0.25">
      <c r="C257" s="141"/>
      <c r="D257" s="257" t="e">
        <f>VLOOKUP(C257,'Input keuzevariabelen'!$B:$C,2,FALSE)</f>
        <v>#N/A</v>
      </c>
      <c r="E257" s="137"/>
      <c r="F257" s="142"/>
      <c r="G257" s="106" t="e">
        <f>VLOOKUP(H257,'Input keuzevariabelen'!$F:$J,2,FALSE)</f>
        <v>#N/A</v>
      </c>
      <c r="H257" s="112"/>
      <c r="I257" s="332"/>
      <c r="J257" s="288" t="e">
        <f t="shared" si="9"/>
        <v>#N/A</v>
      </c>
      <c r="K257" s="107" t="e">
        <f>VLOOKUP(H257,'Input keuzevariabelen'!$F:$J,3,FALSE)</f>
        <v>#N/A</v>
      </c>
      <c r="L257" s="107">
        <f>SUMIFS('Input keuzevariabelen'!$I:$I,'Input keuzevariabelen'!$F:$F,Data!H257,'Input keuzevariabelen'!$K:$K,Data!E257)</f>
        <v>0</v>
      </c>
      <c r="M257" s="107" t="e">
        <f>VLOOKUP(H257,'Input keuzevariabelen'!$F:$J,5,FALSE)</f>
        <v>#N/A</v>
      </c>
      <c r="N257" s="284" t="e">
        <f t="shared" si="10"/>
        <v>#N/A</v>
      </c>
      <c r="O257" s="115"/>
      <c r="P257" s="115"/>
      <c r="Q257" s="116"/>
      <c r="R257" s="107">
        <f>SUMIFS('Input keuzevariabelen'!$P:$P,'Input keuzevariabelen'!$M:$M,Data!H257)</f>
        <v>0</v>
      </c>
      <c r="S257" s="291" t="e">
        <f t="shared" si="11"/>
        <v>#N/A</v>
      </c>
    </row>
    <row r="258" spans="3:19" ht="16.5" thickTop="1" thickBot="1" x14ac:dyDescent="0.25">
      <c r="C258" s="141"/>
      <c r="D258" s="257" t="e">
        <f>VLOOKUP(C258,'Input keuzevariabelen'!$B:$C,2,FALSE)</f>
        <v>#N/A</v>
      </c>
      <c r="E258" s="137"/>
      <c r="F258" s="142"/>
      <c r="G258" s="106" t="e">
        <f>VLOOKUP(H258,'Input keuzevariabelen'!$F:$J,2,FALSE)</f>
        <v>#N/A</v>
      </c>
      <c r="H258" s="112"/>
      <c r="I258" s="332"/>
      <c r="J258" s="288" t="e">
        <f t="shared" si="9"/>
        <v>#N/A</v>
      </c>
      <c r="K258" s="107" t="e">
        <f>VLOOKUP(H258,'Input keuzevariabelen'!$F:$J,3,FALSE)</f>
        <v>#N/A</v>
      </c>
      <c r="L258" s="107">
        <f>SUMIFS('Input keuzevariabelen'!$I:$I,'Input keuzevariabelen'!$F:$F,Data!H258,'Input keuzevariabelen'!$K:$K,Data!E258)</f>
        <v>0</v>
      </c>
      <c r="M258" s="107" t="e">
        <f>VLOOKUP(H258,'Input keuzevariabelen'!$F:$J,5,FALSE)</f>
        <v>#N/A</v>
      </c>
      <c r="N258" s="284" t="e">
        <f t="shared" si="10"/>
        <v>#N/A</v>
      </c>
      <c r="O258" s="115"/>
      <c r="P258" s="115"/>
      <c r="Q258" s="116"/>
      <c r="R258" s="107">
        <f>SUMIFS('Input keuzevariabelen'!$P:$P,'Input keuzevariabelen'!$M:$M,Data!H258)</f>
        <v>0</v>
      </c>
      <c r="S258" s="291" t="e">
        <f t="shared" si="11"/>
        <v>#N/A</v>
      </c>
    </row>
    <row r="259" spans="3:19" ht="16.5" thickTop="1" thickBot="1" x14ac:dyDescent="0.25">
      <c r="C259" s="141"/>
      <c r="D259" s="257" t="e">
        <f>VLOOKUP(C259,'Input keuzevariabelen'!$B:$C,2,FALSE)</f>
        <v>#N/A</v>
      </c>
      <c r="E259" s="137"/>
      <c r="F259" s="142"/>
      <c r="G259" s="106" t="e">
        <f>VLOOKUP(H259,'Input keuzevariabelen'!$F:$J,2,FALSE)</f>
        <v>#N/A</v>
      </c>
      <c r="H259" s="112"/>
      <c r="I259" s="332"/>
      <c r="J259" s="288" t="e">
        <f t="shared" ref="J259:J274" si="12">I259*D259</f>
        <v>#N/A</v>
      </c>
      <c r="K259" s="107" t="e">
        <f>VLOOKUP(H259,'Input keuzevariabelen'!$F:$J,3,FALSE)</f>
        <v>#N/A</v>
      </c>
      <c r="L259" s="107">
        <f>SUMIFS('Input keuzevariabelen'!$I:$I,'Input keuzevariabelen'!$F:$F,Data!H259,'Input keuzevariabelen'!$K:$K,Data!E259)</f>
        <v>0</v>
      </c>
      <c r="M259" s="107" t="e">
        <f>VLOOKUP(H259,'Input keuzevariabelen'!$F:$J,5,FALSE)</f>
        <v>#N/A</v>
      </c>
      <c r="N259" s="284" t="e">
        <f t="shared" ref="N259:N274" si="13">J259*L259/1000000</f>
        <v>#N/A</v>
      </c>
      <c r="O259" s="115"/>
      <c r="P259" s="115"/>
      <c r="Q259" s="116"/>
      <c r="R259" s="107">
        <f>SUMIFS('Input keuzevariabelen'!$P:$P,'Input keuzevariabelen'!$M:$M,Data!H259)</f>
        <v>0</v>
      </c>
      <c r="S259" s="291" t="e">
        <f t="shared" ref="S259:S274" si="14">J259*R259</f>
        <v>#N/A</v>
      </c>
    </row>
    <row r="260" spans="3:19" ht="16.5" thickTop="1" thickBot="1" x14ac:dyDescent="0.25">
      <c r="C260" s="141"/>
      <c r="D260" s="257" t="e">
        <f>VLOOKUP(C260,'Input keuzevariabelen'!$B:$C,2,FALSE)</f>
        <v>#N/A</v>
      </c>
      <c r="E260" s="137"/>
      <c r="F260" s="142"/>
      <c r="G260" s="106" t="e">
        <f>VLOOKUP(H260,'Input keuzevariabelen'!$F:$J,2,FALSE)</f>
        <v>#N/A</v>
      </c>
      <c r="H260" s="112"/>
      <c r="I260" s="332"/>
      <c r="J260" s="288" t="e">
        <f t="shared" si="12"/>
        <v>#N/A</v>
      </c>
      <c r="K260" s="107" t="e">
        <f>VLOOKUP(H260,'Input keuzevariabelen'!$F:$J,3,FALSE)</f>
        <v>#N/A</v>
      </c>
      <c r="L260" s="107">
        <f>SUMIFS('Input keuzevariabelen'!$I:$I,'Input keuzevariabelen'!$F:$F,Data!H260,'Input keuzevariabelen'!$K:$K,Data!E260)</f>
        <v>0</v>
      </c>
      <c r="M260" s="107" t="e">
        <f>VLOOKUP(H260,'Input keuzevariabelen'!$F:$J,5,FALSE)</f>
        <v>#N/A</v>
      </c>
      <c r="N260" s="284" t="e">
        <f t="shared" si="13"/>
        <v>#N/A</v>
      </c>
      <c r="O260" s="115"/>
      <c r="P260" s="115"/>
      <c r="Q260" s="116"/>
      <c r="R260" s="107">
        <f>SUMIFS('Input keuzevariabelen'!$P:$P,'Input keuzevariabelen'!$M:$M,Data!H260)</f>
        <v>0</v>
      </c>
      <c r="S260" s="291" t="e">
        <f t="shared" si="14"/>
        <v>#N/A</v>
      </c>
    </row>
    <row r="261" spans="3:19" ht="16.5" thickTop="1" thickBot="1" x14ac:dyDescent="0.25">
      <c r="C261" s="141"/>
      <c r="D261" s="257" t="e">
        <f>VLOOKUP(C261,'Input keuzevariabelen'!$B:$C,2,FALSE)</f>
        <v>#N/A</v>
      </c>
      <c r="E261" s="137"/>
      <c r="F261" s="142"/>
      <c r="G261" s="106" t="e">
        <f>VLOOKUP(H261,'Input keuzevariabelen'!$F:$J,2,FALSE)</f>
        <v>#N/A</v>
      </c>
      <c r="H261" s="112"/>
      <c r="I261" s="332"/>
      <c r="J261" s="288" t="e">
        <f t="shared" si="12"/>
        <v>#N/A</v>
      </c>
      <c r="K261" s="107" t="e">
        <f>VLOOKUP(H261,'Input keuzevariabelen'!$F:$J,3,FALSE)</f>
        <v>#N/A</v>
      </c>
      <c r="L261" s="107">
        <f>SUMIFS('Input keuzevariabelen'!$I:$I,'Input keuzevariabelen'!$F:$F,Data!H261,'Input keuzevariabelen'!$K:$K,Data!E261)</f>
        <v>0</v>
      </c>
      <c r="M261" s="107" t="e">
        <f>VLOOKUP(H261,'Input keuzevariabelen'!$F:$J,5,FALSE)</f>
        <v>#N/A</v>
      </c>
      <c r="N261" s="284" t="e">
        <f t="shared" si="13"/>
        <v>#N/A</v>
      </c>
      <c r="O261" s="115"/>
      <c r="P261" s="115"/>
      <c r="Q261" s="116"/>
      <c r="R261" s="107">
        <f>SUMIFS('Input keuzevariabelen'!$P:$P,'Input keuzevariabelen'!$M:$M,Data!H261)</f>
        <v>0</v>
      </c>
      <c r="S261" s="291" t="e">
        <f t="shared" si="14"/>
        <v>#N/A</v>
      </c>
    </row>
    <row r="262" spans="3:19" ht="16.5" thickTop="1" thickBot="1" x14ac:dyDescent="0.25">
      <c r="C262" s="141"/>
      <c r="D262" s="257" t="e">
        <f>VLOOKUP(C262,'Input keuzevariabelen'!$B:$C,2,FALSE)</f>
        <v>#N/A</v>
      </c>
      <c r="E262" s="137"/>
      <c r="F262" s="142"/>
      <c r="G262" s="106" t="e">
        <f>VLOOKUP(H262,'Input keuzevariabelen'!$F:$J,2,FALSE)</f>
        <v>#N/A</v>
      </c>
      <c r="H262" s="112"/>
      <c r="I262" s="332"/>
      <c r="J262" s="288" t="e">
        <f t="shared" si="12"/>
        <v>#N/A</v>
      </c>
      <c r="K262" s="107" t="e">
        <f>VLOOKUP(H262,'Input keuzevariabelen'!$F:$J,3,FALSE)</f>
        <v>#N/A</v>
      </c>
      <c r="L262" s="107">
        <f>SUMIFS('Input keuzevariabelen'!$I:$I,'Input keuzevariabelen'!$F:$F,Data!H262,'Input keuzevariabelen'!$K:$K,Data!E262)</f>
        <v>0</v>
      </c>
      <c r="M262" s="107" t="e">
        <f>VLOOKUP(H262,'Input keuzevariabelen'!$F:$J,5,FALSE)</f>
        <v>#N/A</v>
      </c>
      <c r="N262" s="284" t="e">
        <f t="shared" si="13"/>
        <v>#N/A</v>
      </c>
      <c r="O262" s="115"/>
      <c r="P262" s="115"/>
      <c r="Q262" s="116"/>
      <c r="R262" s="107">
        <f>SUMIFS('Input keuzevariabelen'!$P:$P,'Input keuzevariabelen'!$M:$M,Data!H262)</f>
        <v>0</v>
      </c>
      <c r="S262" s="291" t="e">
        <f t="shared" si="14"/>
        <v>#N/A</v>
      </c>
    </row>
    <row r="263" spans="3:19" ht="16.5" thickTop="1" thickBot="1" x14ac:dyDescent="0.25">
      <c r="C263" s="141"/>
      <c r="D263" s="257" t="e">
        <f>VLOOKUP(C263,'Input keuzevariabelen'!$B:$C,2,FALSE)</f>
        <v>#N/A</v>
      </c>
      <c r="E263" s="137"/>
      <c r="F263" s="142"/>
      <c r="G263" s="106" t="e">
        <f>VLOOKUP(H263,'Input keuzevariabelen'!$F:$J,2,FALSE)</f>
        <v>#N/A</v>
      </c>
      <c r="H263" s="112"/>
      <c r="I263" s="332"/>
      <c r="J263" s="288" t="e">
        <f t="shared" si="12"/>
        <v>#N/A</v>
      </c>
      <c r="K263" s="107" t="e">
        <f>VLOOKUP(H263,'Input keuzevariabelen'!$F:$J,3,FALSE)</f>
        <v>#N/A</v>
      </c>
      <c r="L263" s="107">
        <f>SUMIFS('Input keuzevariabelen'!$I:$I,'Input keuzevariabelen'!$F:$F,Data!H263,'Input keuzevariabelen'!$K:$K,Data!E263)</f>
        <v>0</v>
      </c>
      <c r="M263" s="107" t="e">
        <f>VLOOKUP(H263,'Input keuzevariabelen'!$F:$J,5,FALSE)</f>
        <v>#N/A</v>
      </c>
      <c r="N263" s="284" t="e">
        <f t="shared" si="13"/>
        <v>#N/A</v>
      </c>
      <c r="O263" s="115"/>
      <c r="P263" s="115"/>
      <c r="Q263" s="116"/>
      <c r="R263" s="107">
        <f>SUMIFS('Input keuzevariabelen'!$P:$P,'Input keuzevariabelen'!$M:$M,Data!H263)</f>
        <v>0</v>
      </c>
      <c r="S263" s="291" t="e">
        <f t="shared" si="14"/>
        <v>#N/A</v>
      </c>
    </row>
    <row r="264" spans="3:19" ht="16.5" thickTop="1" thickBot="1" x14ac:dyDescent="0.25">
      <c r="C264" s="141"/>
      <c r="D264" s="257" t="e">
        <f>VLOOKUP(C264,'Input keuzevariabelen'!$B:$C,2,FALSE)</f>
        <v>#N/A</v>
      </c>
      <c r="E264" s="137"/>
      <c r="F264" s="142"/>
      <c r="G264" s="106" t="e">
        <f>VLOOKUP(H264,'Input keuzevariabelen'!$F:$J,2,FALSE)</f>
        <v>#N/A</v>
      </c>
      <c r="H264" s="112"/>
      <c r="I264" s="332"/>
      <c r="J264" s="288" t="e">
        <f t="shared" si="12"/>
        <v>#N/A</v>
      </c>
      <c r="K264" s="107" t="e">
        <f>VLOOKUP(H264,'Input keuzevariabelen'!$F:$J,3,FALSE)</f>
        <v>#N/A</v>
      </c>
      <c r="L264" s="107">
        <f>SUMIFS('Input keuzevariabelen'!$I:$I,'Input keuzevariabelen'!$F:$F,Data!H264,'Input keuzevariabelen'!$K:$K,Data!E264)</f>
        <v>0</v>
      </c>
      <c r="M264" s="107" t="e">
        <f>VLOOKUP(H264,'Input keuzevariabelen'!$F:$J,5,FALSE)</f>
        <v>#N/A</v>
      </c>
      <c r="N264" s="284" t="e">
        <f t="shared" si="13"/>
        <v>#N/A</v>
      </c>
      <c r="O264" s="115"/>
      <c r="P264" s="115"/>
      <c r="Q264" s="116"/>
      <c r="R264" s="107">
        <f>SUMIFS('Input keuzevariabelen'!$P:$P,'Input keuzevariabelen'!$M:$M,Data!H264)</f>
        <v>0</v>
      </c>
      <c r="S264" s="291" t="e">
        <f t="shared" si="14"/>
        <v>#N/A</v>
      </c>
    </row>
    <row r="265" spans="3:19" ht="16.5" thickTop="1" thickBot="1" x14ac:dyDescent="0.25">
      <c r="C265" s="141"/>
      <c r="D265" s="257" t="e">
        <f>VLOOKUP(C265,'Input keuzevariabelen'!$B:$C,2,FALSE)</f>
        <v>#N/A</v>
      </c>
      <c r="E265" s="137"/>
      <c r="F265" s="142"/>
      <c r="G265" s="106" t="e">
        <f>VLOOKUP(H265,'Input keuzevariabelen'!$F:$J,2,FALSE)</f>
        <v>#N/A</v>
      </c>
      <c r="H265" s="112"/>
      <c r="I265" s="332"/>
      <c r="J265" s="288" t="e">
        <f t="shared" si="12"/>
        <v>#N/A</v>
      </c>
      <c r="K265" s="107" t="e">
        <f>VLOOKUP(H265,'Input keuzevariabelen'!$F:$J,3,FALSE)</f>
        <v>#N/A</v>
      </c>
      <c r="L265" s="107">
        <f>SUMIFS('Input keuzevariabelen'!$I:$I,'Input keuzevariabelen'!$F:$F,Data!H265,'Input keuzevariabelen'!$K:$K,Data!E265)</f>
        <v>0</v>
      </c>
      <c r="M265" s="107" t="e">
        <f>VLOOKUP(H265,'Input keuzevariabelen'!$F:$J,5,FALSE)</f>
        <v>#N/A</v>
      </c>
      <c r="N265" s="284" t="e">
        <f t="shared" si="13"/>
        <v>#N/A</v>
      </c>
      <c r="O265" s="115"/>
      <c r="P265" s="115"/>
      <c r="Q265" s="116"/>
      <c r="R265" s="107">
        <f>SUMIFS('Input keuzevariabelen'!$P:$P,'Input keuzevariabelen'!$M:$M,Data!H265)</f>
        <v>0</v>
      </c>
      <c r="S265" s="291" t="e">
        <f t="shared" si="14"/>
        <v>#N/A</v>
      </c>
    </row>
    <row r="266" spans="3:19" ht="16.5" thickTop="1" thickBot="1" x14ac:dyDescent="0.25">
      <c r="C266" s="141"/>
      <c r="D266" s="257" t="e">
        <f>VLOOKUP(C266,'Input keuzevariabelen'!$B:$C,2,FALSE)</f>
        <v>#N/A</v>
      </c>
      <c r="E266" s="137"/>
      <c r="F266" s="142"/>
      <c r="G266" s="106" t="e">
        <f>VLOOKUP(H266,'Input keuzevariabelen'!$F:$J,2,FALSE)</f>
        <v>#N/A</v>
      </c>
      <c r="H266" s="112"/>
      <c r="I266" s="332"/>
      <c r="J266" s="288" t="e">
        <f t="shared" si="12"/>
        <v>#N/A</v>
      </c>
      <c r="K266" s="107" t="e">
        <f>VLOOKUP(H266,'Input keuzevariabelen'!$F:$J,3,FALSE)</f>
        <v>#N/A</v>
      </c>
      <c r="L266" s="107">
        <f>SUMIFS('Input keuzevariabelen'!$I:$I,'Input keuzevariabelen'!$F:$F,Data!H266,'Input keuzevariabelen'!$K:$K,Data!E266)</f>
        <v>0</v>
      </c>
      <c r="M266" s="107" t="e">
        <f>VLOOKUP(H266,'Input keuzevariabelen'!$F:$J,5,FALSE)</f>
        <v>#N/A</v>
      </c>
      <c r="N266" s="284" t="e">
        <f t="shared" si="13"/>
        <v>#N/A</v>
      </c>
      <c r="O266" s="115"/>
      <c r="P266" s="115"/>
      <c r="Q266" s="116"/>
      <c r="R266" s="107">
        <f>SUMIFS('Input keuzevariabelen'!$P:$P,'Input keuzevariabelen'!$M:$M,Data!H266)</f>
        <v>0</v>
      </c>
      <c r="S266" s="291" t="e">
        <f t="shared" si="14"/>
        <v>#N/A</v>
      </c>
    </row>
    <row r="267" spans="3:19" ht="16.5" thickTop="1" thickBot="1" x14ac:dyDescent="0.25">
      <c r="C267" s="141"/>
      <c r="D267" s="257" t="e">
        <f>VLOOKUP(C267,'Input keuzevariabelen'!$B:$C,2,FALSE)</f>
        <v>#N/A</v>
      </c>
      <c r="E267" s="137"/>
      <c r="F267" s="142"/>
      <c r="G267" s="106" t="e">
        <f>VLOOKUP(H267,'Input keuzevariabelen'!$F:$J,2,FALSE)</f>
        <v>#N/A</v>
      </c>
      <c r="H267" s="112"/>
      <c r="I267" s="332"/>
      <c r="J267" s="288" t="e">
        <f t="shared" si="12"/>
        <v>#N/A</v>
      </c>
      <c r="K267" s="107" t="e">
        <f>VLOOKUP(H267,'Input keuzevariabelen'!$F:$J,3,FALSE)</f>
        <v>#N/A</v>
      </c>
      <c r="L267" s="107">
        <f>SUMIFS('Input keuzevariabelen'!$I:$I,'Input keuzevariabelen'!$F:$F,Data!H267,'Input keuzevariabelen'!$K:$K,Data!E267)</f>
        <v>0</v>
      </c>
      <c r="M267" s="107" t="e">
        <f>VLOOKUP(H267,'Input keuzevariabelen'!$F:$J,5,FALSE)</f>
        <v>#N/A</v>
      </c>
      <c r="N267" s="284" t="e">
        <f t="shared" si="13"/>
        <v>#N/A</v>
      </c>
      <c r="O267" s="115"/>
      <c r="P267" s="115"/>
      <c r="Q267" s="116"/>
      <c r="R267" s="107">
        <f>SUMIFS('Input keuzevariabelen'!$P:$P,'Input keuzevariabelen'!$M:$M,Data!H267)</f>
        <v>0</v>
      </c>
      <c r="S267" s="291" t="e">
        <f t="shared" si="14"/>
        <v>#N/A</v>
      </c>
    </row>
    <row r="268" spans="3:19" ht="16.5" thickTop="1" thickBot="1" x14ac:dyDescent="0.25">
      <c r="C268" s="141"/>
      <c r="D268" s="257" t="e">
        <f>VLOOKUP(C268,'Input keuzevariabelen'!$B:$C,2,FALSE)</f>
        <v>#N/A</v>
      </c>
      <c r="E268" s="137"/>
      <c r="F268" s="142"/>
      <c r="G268" s="106" t="e">
        <f>VLOOKUP(H268,'Input keuzevariabelen'!$F:$J,2,FALSE)</f>
        <v>#N/A</v>
      </c>
      <c r="H268" s="112"/>
      <c r="I268" s="332"/>
      <c r="J268" s="288" t="e">
        <f t="shared" si="12"/>
        <v>#N/A</v>
      </c>
      <c r="K268" s="107" t="e">
        <f>VLOOKUP(H268,'Input keuzevariabelen'!$F:$J,3,FALSE)</f>
        <v>#N/A</v>
      </c>
      <c r="L268" s="107">
        <f>SUMIFS('Input keuzevariabelen'!$I:$I,'Input keuzevariabelen'!$F:$F,Data!H268,'Input keuzevariabelen'!$K:$K,Data!E268)</f>
        <v>0</v>
      </c>
      <c r="M268" s="107" t="e">
        <f>VLOOKUP(H268,'Input keuzevariabelen'!$F:$J,5,FALSE)</f>
        <v>#N/A</v>
      </c>
      <c r="N268" s="284" t="e">
        <f t="shared" si="13"/>
        <v>#N/A</v>
      </c>
      <c r="O268" s="115"/>
      <c r="P268" s="115"/>
      <c r="Q268" s="116"/>
      <c r="R268" s="107">
        <f>SUMIFS('Input keuzevariabelen'!$P:$P,'Input keuzevariabelen'!$M:$M,Data!H268)</f>
        <v>0</v>
      </c>
      <c r="S268" s="291" t="e">
        <f t="shared" si="14"/>
        <v>#N/A</v>
      </c>
    </row>
    <row r="269" spans="3:19" ht="16.5" thickTop="1" thickBot="1" x14ac:dyDescent="0.25">
      <c r="C269" s="141"/>
      <c r="D269" s="257" t="e">
        <f>VLOOKUP(C269,'Input keuzevariabelen'!$B:$C,2,FALSE)</f>
        <v>#N/A</v>
      </c>
      <c r="E269" s="137"/>
      <c r="F269" s="142"/>
      <c r="G269" s="106" t="e">
        <f>VLOOKUP(H269,'Input keuzevariabelen'!$F:$J,2,FALSE)</f>
        <v>#N/A</v>
      </c>
      <c r="H269" s="112"/>
      <c r="I269" s="332"/>
      <c r="J269" s="288" t="e">
        <f t="shared" si="12"/>
        <v>#N/A</v>
      </c>
      <c r="K269" s="107" t="e">
        <f>VLOOKUP(H269,'Input keuzevariabelen'!$F:$J,3,FALSE)</f>
        <v>#N/A</v>
      </c>
      <c r="L269" s="107">
        <f>SUMIFS('Input keuzevariabelen'!$I:$I,'Input keuzevariabelen'!$F:$F,Data!H269,'Input keuzevariabelen'!$K:$K,Data!E269)</f>
        <v>0</v>
      </c>
      <c r="M269" s="107" t="e">
        <f>VLOOKUP(H269,'Input keuzevariabelen'!$F:$J,5,FALSE)</f>
        <v>#N/A</v>
      </c>
      <c r="N269" s="284" t="e">
        <f t="shared" si="13"/>
        <v>#N/A</v>
      </c>
      <c r="O269" s="115"/>
      <c r="P269" s="115"/>
      <c r="Q269" s="116"/>
      <c r="R269" s="107">
        <f>SUMIFS('Input keuzevariabelen'!$P:$P,'Input keuzevariabelen'!$M:$M,Data!H269)</f>
        <v>0</v>
      </c>
      <c r="S269" s="291" t="e">
        <f t="shared" si="14"/>
        <v>#N/A</v>
      </c>
    </row>
    <row r="270" spans="3:19" ht="16.5" thickTop="1" thickBot="1" x14ac:dyDescent="0.25">
      <c r="C270" s="141"/>
      <c r="D270" s="257" t="e">
        <f>VLOOKUP(C270,'Input keuzevariabelen'!$B:$C,2,FALSE)</f>
        <v>#N/A</v>
      </c>
      <c r="E270" s="137"/>
      <c r="F270" s="142"/>
      <c r="G270" s="106" t="e">
        <f>VLOOKUP(H270,'Input keuzevariabelen'!$F:$J,2,FALSE)</f>
        <v>#N/A</v>
      </c>
      <c r="H270" s="112"/>
      <c r="I270" s="332"/>
      <c r="J270" s="288" t="e">
        <f t="shared" si="12"/>
        <v>#N/A</v>
      </c>
      <c r="K270" s="107" t="e">
        <f>VLOOKUP(H270,'Input keuzevariabelen'!$F:$J,3,FALSE)</f>
        <v>#N/A</v>
      </c>
      <c r="L270" s="107">
        <f>SUMIFS('Input keuzevariabelen'!$I:$I,'Input keuzevariabelen'!$F:$F,Data!H270,'Input keuzevariabelen'!$K:$K,Data!E270)</f>
        <v>0</v>
      </c>
      <c r="M270" s="107" t="e">
        <f>VLOOKUP(H270,'Input keuzevariabelen'!$F:$J,5,FALSE)</f>
        <v>#N/A</v>
      </c>
      <c r="N270" s="284" t="e">
        <f t="shared" si="13"/>
        <v>#N/A</v>
      </c>
      <c r="O270" s="115"/>
      <c r="P270" s="115"/>
      <c r="Q270" s="116"/>
      <c r="R270" s="107">
        <f>SUMIFS('Input keuzevariabelen'!$P:$P,'Input keuzevariabelen'!$M:$M,Data!H270)</f>
        <v>0</v>
      </c>
      <c r="S270" s="291" t="e">
        <f t="shared" si="14"/>
        <v>#N/A</v>
      </c>
    </row>
    <row r="271" spans="3:19" ht="16.5" thickTop="1" thickBot="1" x14ac:dyDescent="0.25">
      <c r="C271" s="141"/>
      <c r="D271" s="257" t="e">
        <f>VLOOKUP(C271,'Input keuzevariabelen'!$B:$C,2,FALSE)</f>
        <v>#N/A</v>
      </c>
      <c r="E271" s="137"/>
      <c r="F271" s="142"/>
      <c r="G271" s="106" t="e">
        <f>VLOOKUP(H271,'Input keuzevariabelen'!$F:$J,2,FALSE)</f>
        <v>#N/A</v>
      </c>
      <c r="H271" s="112"/>
      <c r="I271" s="332"/>
      <c r="J271" s="288" t="e">
        <f t="shared" si="12"/>
        <v>#N/A</v>
      </c>
      <c r="K271" s="107" t="e">
        <f>VLOOKUP(H271,'Input keuzevariabelen'!$F:$J,3,FALSE)</f>
        <v>#N/A</v>
      </c>
      <c r="L271" s="107">
        <f>SUMIFS('Input keuzevariabelen'!$I:$I,'Input keuzevariabelen'!$F:$F,Data!H271,'Input keuzevariabelen'!$K:$K,Data!E271)</f>
        <v>0</v>
      </c>
      <c r="M271" s="107" t="e">
        <f>VLOOKUP(H271,'Input keuzevariabelen'!$F:$J,5,FALSE)</f>
        <v>#N/A</v>
      </c>
      <c r="N271" s="284" t="e">
        <f t="shared" si="13"/>
        <v>#N/A</v>
      </c>
      <c r="O271" s="119"/>
      <c r="P271" s="115"/>
      <c r="Q271" s="116"/>
      <c r="R271" s="107">
        <f>SUMIFS('Input keuzevariabelen'!$P:$P,'Input keuzevariabelen'!$M:$M,Data!H271)</f>
        <v>0</v>
      </c>
      <c r="S271" s="291" t="e">
        <f t="shared" si="14"/>
        <v>#N/A</v>
      </c>
    </row>
    <row r="272" spans="3:19" ht="16.5" thickTop="1" thickBot="1" x14ac:dyDescent="0.25">
      <c r="C272" s="141"/>
      <c r="D272" s="257" t="e">
        <f>VLOOKUP(C272,'Input keuzevariabelen'!$B:$C,2,FALSE)</f>
        <v>#N/A</v>
      </c>
      <c r="E272" s="137"/>
      <c r="F272" s="142"/>
      <c r="G272" s="106" t="e">
        <f>VLOOKUP(H272,'Input keuzevariabelen'!$F:$J,2,FALSE)</f>
        <v>#N/A</v>
      </c>
      <c r="H272" s="112"/>
      <c r="I272" s="332"/>
      <c r="J272" s="288" t="e">
        <f t="shared" si="12"/>
        <v>#N/A</v>
      </c>
      <c r="K272" s="107" t="e">
        <f>VLOOKUP(H272,'Input keuzevariabelen'!$F:$J,3,FALSE)</f>
        <v>#N/A</v>
      </c>
      <c r="L272" s="107">
        <f>SUMIFS('Input keuzevariabelen'!$I:$I,'Input keuzevariabelen'!$F:$F,Data!H272,'Input keuzevariabelen'!$K:$K,Data!E272)</f>
        <v>0</v>
      </c>
      <c r="M272" s="107" t="e">
        <f>VLOOKUP(H272,'Input keuzevariabelen'!$F:$J,5,FALSE)</f>
        <v>#N/A</v>
      </c>
      <c r="N272" s="284" t="e">
        <f t="shared" si="13"/>
        <v>#N/A</v>
      </c>
      <c r="P272" s="115"/>
      <c r="Q272" s="116"/>
      <c r="R272" s="107">
        <f>SUMIFS('Input keuzevariabelen'!$P:$P,'Input keuzevariabelen'!$M:$M,Data!H272)</f>
        <v>0</v>
      </c>
      <c r="S272" s="291" t="e">
        <f t="shared" si="14"/>
        <v>#N/A</v>
      </c>
    </row>
    <row r="273" spans="3:19" ht="16.5" thickTop="1" thickBot="1" x14ac:dyDescent="0.25">
      <c r="C273" s="141"/>
      <c r="D273" s="257" t="e">
        <f>VLOOKUP(C273,'Input keuzevariabelen'!$B:$C,2,FALSE)</f>
        <v>#N/A</v>
      </c>
      <c r="E273" s="137"/>
      <c r="F273" s="142"/>
      <c r="G273" s="106" t="e">
        <f>VLOOKUP(H273,'Input keuzevariabelen'!$F:$J,2,FALSE)</f>
        <v>#N/A</v>
      </c>
      <c r="H273" s="112"/>
      <c r="I273" s="332"/>
      <c r="J273" s="288" t="e">
        <f t="shared" si="12"/>
        <v>#N/A</v>
      </c>
      <c r="K273" s="107" t="e">
        <f>VLOOKUP(H273,'Input keuzevariabelen'!$F:$J,3,FALSE)</f>
        <v>#N/A</v>
      </c>
      <c r="L273" s="107">
        <f>SUMIFS('Input keuzevariabelen'!$I:$I,'Input keuzevariabelen'!$F:$F,Data!H273,'Input keuzevariabelen'!$K:$K,Data!E273)</f>
        <v>0</v>
      </c>
      <c r="M273" s="107" t="e">
        <f>VLOOKUP(H273,'Input keuzevariabelen'!$F:$J,5,FALSE)</f>
        <v>#N/A</v>
      </c>
      <c r="N273" s="284" t="e">
        <f t="shared" si="13"/>
        <v>#N/A</v>
      </c>
      <c r="O273" s="1"/>
      <c r="P273" s="115"/>
      <c r="Q273" s="116"/>
      <c r="R273" s="107">
        <f>SUMIFS('Input keuzevariabelen'!$P:$P,'Input keuzevariabelen'!$M:$M,Data!H273)</f>
        <v>0</v>
      </c>
      <c r="S273" s="291" t="e">
        <f t="shared" si="14"/>
        <v>#N/A</v>
      </c>
    </row>
    <row r="274" spans="3:19" ht="16.5" thickTop="1" thickBot="1" x14ac:dyDescent="0.25">
      <c r="C274" s="143"/>
      <c r="D274" s="257" t="e">
        <f>VLOOKUP(C274,'Input keuzevariabelen'!$B:$C,2,FALSE)</f>
        <v>#N/A</v>
      </c>
      <c r="E274" s="137"/>
      <c r="F274" s="144"/>
      <c r="G274" s="106" t="e">
        <f>VLOOKUP(H274,'Input keuzevariabelen'!$F:$J,2,FALSE)</f>
        <v>#N/A</v>
      </c>
      <c r="H274" s="112"/>
      <c r="I274" s="334"/>
      <c r="J274" s="288" t="e">
        <f t="shared" si="12"/>
        <v>#N/A</v>
      </c>
      <c r="K274" s="107" t="e">
        <f>VLOOKUP(H274,'Input keuzevariabelen'!$F:$J,3,FALSE)</f>
        <v>#N/A</v>
      </c>
      <c r="L274" s="107">
        <f>SUMIFS('Input keuzevariabelen'!$I:$I,'Input keuzevariabelen'!$F:$F,Data!H274,'Input keuzevariabelen'!$K:$K,Data!E274)</f>
        <v>0</v>
      </c>
      <c r="M274" s="107" t="e">
        <f>VLOOKUP(H274,'Input keuzevariabelen'!$F:$J,5,FALSE)</f>
        <v>#N/A</v>
      </c>
      <c r="N274" s="284" t="e">
        <f t="shared" si="13"/>
        <v>#N/A</v>
      </c>
      <c r="O274" s="1"/>
      <c r="P274" s="119"/>
      <c r="Q274" s="120"/>
      <c r="R274" s="107">
        <f>SUMIFS('Input keuzevariabelen'!$P:$P,'Input keuzevariabelen'!$M:$M,Data!H274)</f>
        <v>0</v>
      </c>
      <c r="S274" s="291" t="e">
        <f t="shared" si="14"/>
        <v>#N/A</v>
      </c>
    </row>
    <row r="276" spans="3:19" x14ac:dyDescent="0.2">
      <c r="C276" s="1"/>
      <c r="D276" s="36"/>
      <c r="E276" s="1"/>
      <c r="F276" s="1"/>
      <c r="G276" s="1"/>
      <c r="H276" s="1"/>
      <c r="I276" s="289"/>
      <c r="J276" s="289"/>
      <c r="K276" s="1"/>
      <c r="L276" s="1"/>
      <c r="M276" s="1"/>
      <c r="N276" s="285"/>
      <c r="P276" s="1"/>
    </row>
    <row r="277" spans="3:19" x14ac:dyDescent="0.2">
      <c r="C277" s="1"/>
      <c r="D277" s="36"/>
      <c r="E277" s="1"/>
      <c r="F277" s="1"/>
      <c r="G277" s="1"/>
      <c r="H277" s="1"/>
      <c r="I277" s="289"/>
      <c r="J277" s="289"/>
      <c r="K277" s="1"/>
      <c r="L277" s="1"/>
      <c r="M277" s="1"/>
      <c r="N277" s="285"/>
      <c r="P277" s="1"/>
    </row>
  </sheetData>
  <autoFilter ref="C7:S274" xr:uid="{D1FDDC59-4C53-4BAA-9B17-E6CA00B66D2A}"/>
  <mergeCells count="1">
    <mergeCell ref="C6:S6"/>
  </mergeCells>
  <phoneticPr fontId="9" type="noConversion"/>
  <conditionalFormatting sqref="C165:C184 O185:O271 O8:O175">
    <cfRule type="containsBlanks" dxfId="10" priority="28">
      <formula>LEN(TRIM(C8))=0</formula>
    </cfRule>
  </conditionalFormatting>
  <conditionalFormatting sqref="C8:N97">
    <cfRule type="containsBlanks" dxfId="9" priority="14">
      <formula>LEN(TRIM(C8))=0</formula>
    </cfRule>
  </conditionalFormatting>
  <conditionalFormatting sqref="C136:N177 C185:N274 J178:N184 C178:H184">
    <cfRule type="containsBlanks" dxfId="8" priority="6">
      <formula>LEN(TRIM(C136))=0</formula>
    </cfRule>
  </conditionalFormatting>
  <conditionalFormatting sqref="C98:S135">
    <cfRule type="containsBlanks" dxfId="7" priority="7">
      <formula>LEN(TRIM(C98))=0</formula>
    </cfRule>
  </conditionalFormatting>
  <conditionalFormatting sqref="P8:S274">
    <cfRule type="containsBlanks" dxfId="6" priority="5">
      <formula>LEN(TRIM(P8))=0</formula>
    </cfRule>
  </conditionalFormatting>
  <conditionalFormatting sqref="I178:I180">
    <cfRule type="containsBlanks" dxfId="5" priority="3">
      <formula>LEN(TRIM(I178))=0</formula>
    </cfRule>
  </conditionalFormatting>
  <conditionalFormatting sqref="I181:I184">
    <cfRule type="containsBlanks" dxfId="4" priority="4">
      <formula>LEN(TRIM(I181))=0</formula>
    </cfRule>
  </conditionalFormatting>
  <conditionalFormatting sqref="O177:O184">
    <cfRule type="containsBlanks" dxfId="3" priority="2">
      <formula>LEN(TRIM(O177))=0</formula>
    </cfRule>
  </conditionalFormatting>
  <conditionalFormatting sqref="O176">
    <cfRule type="containsBlanks" dxfId="2" priority="1">
      <formula>LEN(TRIM(O176))=0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8EDA6948-714B-429B-A935-E2011E63EF1F}">
          <x14:formula1>
            <xm:f>'Input keuzevariabelen'!$B$11:$B$20</xm:f>
          </x14:formula1>
          <xm:sqref>C8:C274</xm:sqref>
        </x14:dataValidation>
        <x14:dataValidation type="list" allowBlank="1" showInputMessage="1" showErrorMessage="1" xr:uid="{C558C1F0-EB1E-4E2B-AFD0-58C0B289B876}">
          <x14:formula1>
            <xm:f>'Input keuzevariabelen'!$E$11:$E$12</xm:f>
          </x14:formula1>
          <xm:sqref>F8:F274</xm:sqref>
        </x14:dataValidation>
        <x14:dataValidation type="list" allowBlank="1" showInputMessage="1" showErrorMessage="1" xr:uid="{376370E9-B716-0E44-ACB6-AD5F8DA71E68}">
          <x14:formula1>
            <xm:f>'Input keuzevariabelen'!$D$11:$D$18</xm:f>
          </x14:formula1>
          <xm:sqref>E8:E274</xm:sqref>
        </x14:dataValidation>
        <x14:dataValidation type="list" allowBlank="1" showInputMessage="1" showErrorMessage="1" xr:uid="{328292F0-D400-4BC3-8915-8D6C70EF9EFE}">
          <x14:formula1>
            <xm:f>'Input keuzevariabelen'!$F$11:$F$12</xm:f>
          </x14:formula1>
          <xm:sqref>H8:H16 H23:H39</xm:sqref>
        </x14:dataValidation>
        <x14:dataValidation type="list" allowBlank="1" showInputMessage="1" showErrorMessage="1" xr:uid="{D4D4F0AD-64C4-6E4D-93D4-8E1C40D92F5B}">
          <x14:formula1>
            <xm:f>'Input keuzevariabelen'!$F$11:$F$32</xm:f>
          </x14:formula1>
          <xm:sqref>H17:H22 H40:H274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23"/>
  <sheetViews>
    <sheetView showGridLines="0" topLeftCell="C2" zoomScale="110" zoomScaleNormal="110" workbookViewId="0">
      <selection activeCell="P27" sqref="P27"/>
    </sheetView>
    <sheetView workbookViewId="1"/>
  </sheetViews>
  <sheetFormatPr defaultColWidth="12.5" defaultRowHeight="15" customHeight="1" x14ac:dyDescent="0.2"/>
  <cols>
    <col min="1" max="1" width="14.875" style="2" customWidth="1"/>
    <col min="2" max="2" width="34.5" style="2" customWidth="1"/>
    <col min="3" max="3" width="34.5" style="255" customWidth="1"/>
    <col min="4" max="4" width="19" style="2" customWidth="1"/>
    <col min="5" max="5" width="21.5" style="2" bestFit="1" customWidth="1"/>
    <col min="6" max="6" width="45" style="2" customWidth="1"/>
    <col min="7" max="7" width="7.875" style="2" customWidth="1"/>
    <col min="8" max="8" width="11.375" style="2" bestFit="1" customWidth="1"/>
    <col min="9" max="9" width="20" style="2" bestFit="1" customWidth="1"/>
    <col min="10" max="10" width="14.375" style="2" customWidth="1"/>
    <col min="11" max="12" width="7.5" style="2" customWidth="1"/>
    <col min="13" max="13" width="40.625" style="2" customWidth="1"/>
    <col min="14" max="14" width="9" style="2" customWidth="1"/>
    <col min="15" max="15" width="11" style="2" customWidth="1"/>
    <col min="16" max="16" width="24.875" style="2" customWidth="1"/>
    <col min="17" max="26" width="7.5" style="2" customWidth="1"/>
    <col min="27" max="16384" width="12.5" style="2"/>
  </cols>
  <sheetData>
    <row r="1" spans="1:26" ht="14.25" customHeight="1" x14ac:dyDescent="0.2">
      <c r="A1" s="1"/>
      <c r="B1" s="1"/>
      <c r="C1" s="36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">
      <c r="A2" s="1"/>
      <c r="B2" s="1"/>
      <c r="C2" s="3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5.75" customHeight="1" x14ac:dyDescent="0.2">
      <c r="A3" s="1"/>
      <c r="B3" s="1"/>
      <c r="C3" s="326" t="s">
        <v>206</v>
      </c>
      <c r="D3" s="27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2">
      <c r="A4" s="1"/>
      <c r="B4" s="1"/>
      <c r="C4" s="36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2">
      <c r="A5" s="1"/>
      <c r="B5" s="1"/>
      <c r="C5" s="36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1"/>
      <c r="B6" s="1"/>
      <c r="C6" s="36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">
      <c r="A7" s="1"/>
      <c r="B7" s="1"/>
      <c r="C7" s="36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">
      <c r="A8" s="1"/>
      <c r="B8" s="1"/>
      <c r="C8" s="36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 thickBot="1" x14ac:dyDescent="0.25">
      <c r="A9" s="1"/>
      <c r="B9" s="382" t="s">
        <v>207</v>
      </c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.95" customHeight="1" thickTop="1" thickBot="1" x14ac:dyDescent="0.25">
      <c r="A10" s="1"/>
      <c r="B10" s="121" t="s">
        <v>208</v>
      </c>
      <c r="C10" s="261" t="s">
        <v>140</v>
      </c>
      <c r="D10" s="122" t="s">
        <v>209</v>
      </c>
      <c r="E10" s="122" t="s">
        <v>142</v>
      </c>
      <c r="F10" s="122" t="s">
        <v>144</v>
      </c>
      <c r="G10" s="123" t="s">
        <v>210</v>
      </c>
      <c r="H10" s="122" t="s">
        <v>18</v>
      </c>
      <c r="I10" s="122" t="s">
        <v>147</v>
      </c>
      <c r="J10" s="122" t="s">
        <v>18</v>
      </c>
      <c r="K10" s="159" t="s">
        <v>141</v>
      </c>
      <c r="L10" s="250"/>
      <c r="M10" s="122" t="s">
        <v>211</v>
      </c>
      <c r="N10" s="123" t="s">
        <v>210</v>
      </c>
      <c r="O10" s="122" t="s">
        <v>18</v>
      </c>
      <c r="P10" s="122" t="s">
        <v>212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95" customHeight="1" thickTop="1" thickBot="1" x14ac:dyDescent="0.25">
      <c r="A11" s="1"/>
      <c r="B11" s="114" t="s">
        <v>11</v>
      </c>
      <c r="C11" s="258">
        <v>1</v>
      </c>
      <c r="D11" s="97">
        <v>2019</v>
      </c>
      <c r="E11" s="97" t="s">
        <v>82</v>
      </c>
      <c r="F11" s="97" t="s">
        <v>154</v>
      </c>
      <c r="G11" s="97" t="s">
        <v>213</v>
      </c>
      <c r="H11" s="161"/>
      <c r="I11" s="161"/>
      <c r="J11" s="161"/>
      <c r="K11" s="161"/>
      <c r="L11" s="251"/>
      <c r="M11" s="1" t="s">
        <v>214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thickBot="1" x14ac:dyDescent="0.25">
      <c r="A12" s="1"/>
      <c r="B12" s="114" t="s">
        <v>124</v>
      </c>
      <c r="C12" s="260">
        <v>0.111</v>
      </c>
      <c r="D12" s="93">
        <f>D11+1</f>
        <v>2020</v>
      </c>
      <c r="E12" s="93" t="s">
        <v>13</v>
      </c>
      <c r="F12" s="252"/>
      <c r="G12" s="252"/>
      <c r="H12" s="1"/>
      <c r="I12" s="1"/>
      <c r="J12" s="1"/>
      <c r="K12" s="1"/>
      <c r="L12" s="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thickTop="1" thickBot="1" x14ac:dyDescent="0.25">
      <c r="A13" s="1"/>
      <c r="B13" s="111" t="s">
        <v>172</v>
      </c>
      <c r="C13" s="259">
        <v>0.2</v>
      </c>
      <c r="D13" s="93">
        <f t="shared" ref="D13:D21" si="0">D12+1</f>
        <v>2021</v>
      </c>
      <c r="E13" s="104"/>
      <c r="F13" s="97" t="s">
        <v>21</v>
      </c>
      <c r="G13" s="156">
        <v>1</v>
      </c>
      <c r="H13" s="156" t="s">
        <v>49</v>
      </c>
      <c r="I13" s="156">
        <v>1890</v>
      </c>
      <c r="J13" s="157" t="s">
        <v>215</v>
      </c>
      <c r="K13" s="134">
        <v>2019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thickBot="1" x14ac:dyDescent="0.25">
      <c r="A14" s="1"/>
      <c r="B14" s="111" t="s">
        <v>123</v>
      </c>
      <c r="C14" s="259">
        <v>0.28599999999999998</v>
      </c>
      <c r="D14" s="93">
        <f t="shared" si="0"/>
        <v>2022</v>
      </c>
      <c r="E14" s="104"/>
      <c r="F14" s="279" t="s">
        <v>50</v>
      </c>
      <c r="G14" s="280" t="s">
        <v>216</v>
      </c>
      <c r="H14" s="279" t="s">
        <v>49</v>
      </c>
      <c r="I14" s="279">
        <v>1962</v>
      </c>
      <c r="J14" s="157" t="s">
        <v>215</v>
      </c>
      <c r="K14" s="134">
        <v>2019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thickTop="1" thickBot="1" x14ac:dyDescent="0.25">
      <c r="A15" s="1"/>
      <c r="B15" s="114" t="s">
        <v>203</v>
      </c>
      <c r="C15" s="260">
        <v>4.8000000000000001E-2</v>
      </c>
      <c r="D15" s="93">
        <f t="shared" si="0"/>
        <v>2023</v>
      </c>
      <c r="E15" s="104"/>
      <c r="F15" s="279" t="s">
        <v>48</v>
      </c>
      <c r="G15" s="280" t="s">
        <v>216</v>
      </c>
      <c r="H15" s="279" t="s">
        <v>49</v>
      </c>
      <c r="I15" s="279">
        <v>1962</v>
      </c>
      <c r="J15" s="157" t="s">
        <v>215</v>
      </c>
      <c r="K15" s="281">
        <v>2019</v>
      </c>
      <c r="L15" s="1"/>
      <c r="M15" s="97" t="s">
        <v>21</v>
      </c>
      <c r="N15" s="97">
        <v>1</v>
      </c>
      <c r="O15" s="97" t="s">
        <v>49</v>
      </c>
      <c r="P15" s="97">
        <v>3.1649999999999998E-2</v>
      </c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thickBot="1" x14ac:dyDescent="0.25">
      <c r="A16" s="1"/>
      <c r="B16" s="111" t="s">
        <v>193</v>
      </c>
      <c r="C16" s="259">
        <v>0.125</v>
      </c>
      <c r="D16" s="93">
        <f t="shared" si="0"/>
        <v>2024</v>
      </c>
      <c r="E16" s="104"/>
      <c r="F16" s="279" t="s">
        <v>217</v>
      </c>
      <c r="G16" s="280">
        <v>1</v>
      </c>
      <c r="H16" s="279" t="s">
        <v>34</v>
      </c>
      <c r="I16" s="279">
        <v>0.1096</v>
      </c>
      <c r="J16" s="157" t="s">
        <v>218</v>
      </c>
      <c r="K16" s="281">
        <v>2019</v>
      </c>
      <c r="L16" s="1"/>
      <c r="M16" s="156" t="s">
        <v>26</v>
      </c>
      <c r="N16" s="156">
        <v>1</v>
      </c>
      <c r="O16" s="156" t="s">
        <v>49</v>
      </c>
      <c r="P16" s="156">
        <v>2.3300000000000001E-2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thickTop="1" thickBot="1" x14ac:dyDescent="0.25">
      <c r="A17" s="1"/>
      <c r="B17" s="114" t="s">
        <v>219</v>
      </c>
      <c r="C17" s="258">
        <v>4.2999999999999997E-2</v>
      </c>
      <c r="D17" s="93">
        <f t="shared" si="0"/>
        <v>2025</v>
      </c>
      <c r="E17" s="104"/>
      <c r="F17" s="93" t="s">
        <v>83</v>
      </c>
      <c r="G17" s="93">
        <v>1</v>
      </c>
      <c r="H17" s="93" t="s">
        <v>24</v>
      </c>
      <c r="I17" s="93">
        <v>3309</v>
      </c>
      <c r="J17" s="99" t="s">
        <v>220</v>
      </c>
      <c r="K17" s="114">
        <v>2019</v>
      </c>
      <c r="L17" s="1"/>
      <c r="M17" s="93" t="s">
        <v>83</v>
      </c>
      <c r="N17" s="93">
        <v>1</v>
      </c>
      <c r="O17" s="93" t="s">
        <v>24</v>
      </c>
      <c r="P17" s="93">
        <v>3.6299999999999999E-2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thickBot="1" x14ac:dyDescent="0.25">
      <c r="A18" s="1"/>
      <c r="B18" s="114"/>
      <c r="C18" s="260"/>
      <c r="D18" s="93">
        <f t="shared" si="0"/>
        <v>2026</v>
      </c>
      <c r="E18" s="104"/>
      <c r="F18" s="93" t="s">
        <v>23</v>
      </c>
      <c r="G18" s="93">
        <v>1</v>
      </c>
      <c r="H18" s="93" t="s">
        <v>24</v>
      </c>
      <c r="I18" s="93">
        <v>3309</v>
      </c>
      <c r="J18" s="99" t="s">
        <v>220</v>
      </c>
      <c r="K18" s="135">
        <v>2019</v>
      </c>
      <c r="L18" s="1"/>
      <c r="M18" s="93" t="s">
        <v>23</v>
      </c>
      <c r="N18" s="93">
        <v>1</v>
      </c>
      <c r="O18" s="93" t="s">
        <v>24</v>
      </c>
      <c r="P18" s="93">
        <v>3.6299999999999999E-2</v>
      </c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thickBot="1" x14ac:dyDescent="0.25">
      <c r="A19" s="1"/>
      <c r="B19" s="111"/>
      <c r="C19" s="259"/>
      <c r="D19" s="93">
        <f t="shared" si="0"/>
        <v>2027</v>
      </c>
      <c r="E19" s="104"/>
      <c r="F19" s="93" t="s">
        <v>25</v>
      </c>
      <c r="G19" s="93">
        <v>1</v>
      </c>
      <c r="H19" s="93" t="s">
        <v>24</v>
      </c>
      <c r="I19" s="93">
        <v>2884</v>
      </c>
      <c r="J19" s="99" t="s">
        <v>220</v>
      </c>
      <c r="K19" s="114">
        <v>2019</v>
      </c>
      <c r="L19" s="1"/>
      <c r="M19" s="93" t="s">
        <v>25</v>
      </c>
      <c r="N19" s="93">
        <v>1</v>
      </c>
      <c r="O19" s="93" t="s">
        <v>24</v>
      </c>
      <c r="P19" s="93">
        <v>3.1E-2</v>
      </c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thickBot="1" x14ac:dyDescent="0.25">
      <c r="A20" s="1"/>
      <c r="B20" s="111"/>
      <c r="C20" s="259"/>
      <c r="D20" s="93">
        <f t="shared" si="0"/>
        <v>2028</v>
      </c>
      <c r="E20" s="104"/>
      <c r="F20" s="93" t="s">
        <v>221</v>
      </c>
      <c r="G20" s="93">
        <v>1</v>
      </c>
      <c r="H20" s="93" t="s">
        <v>24</v>
      </c>
      <c r="I20" s="93">
        <v>345</v>
      </c>
      <c r="J20" s="99" t="s">
        <v>220</v>
      </c>
      <c r="K20" s="135">
        <v>2019</v>
      </c>
      <c r="L20" s="1"/>
      <c r="M20" s="93" t="s">
        <v>221</v>
      </c>
      <c r="N20" s="93">
        <v>1</v>
      </c>
      <c r="O20" s="93" t="s">
        <v>24</v>
      </c>
      <c r="P20" s="93">
        <v>3.4500000000000003E-2</v>
      </c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thickBot="1" x14ac:dyDescent="0.25">
      <c r="A21" s="1"/>
      <c r="B21" s="114"/>
      <c r="C21" s="260"/>
      <c r="D21" s="93">
        <f t="shared" si="0"/>
        <v>2029</v>
      </c>
      <c r="E21" s="104"/>
      <c r="F21" s="93" t="s">
        <v>222</v>
      </c>
      <c r="G21" s="93">
        <v>1</v>
      </c>
      <c r="H21" s="93" t="s">
        <v>24</v>
      </c>
      <c r="I21" s="93">
        <v>1806</v>
      </c>
      <c r="J21" s="99" t="s">
        <v>220</v>
      </c>
      <c r="K21" s="114">
        <v>2019</v>
      </c>
      <c r="L21" s="1"/>
      <c r="M21" s="93" t="s">
        <v>222</v>
      </c>
      <c r="N21" s="93">
        <v>1</v>
      </c>
      <c r="O21" s="93" t="s">
        <v>24</v>
      </c>
      <c r="P21" s="93">
        <v>2.35E-2</v>
      </c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thickBot="1" x14ac:dyDescent="0.25">
      <c r="A22" s="1"/>
      <c r="B22" s="125"/>
      <c r="C22" s="262"/>
      <c r="D22" s="104"/>
      <c r="E22" s="104"/>
      <c r="F22" s="93" t="s">
        <v>223</v>
      </c>
      <c r="G22" s="93">
        <v>1</v>
      </c>
      <c r="H22" s="93" t="s">
        <v>101</v>
      </c>
      <c r="I22" s="93">
        <v>2728</v>
      </c>
      <c r="J22" s="99" t="s">
        <v>218</v>
      </c>
      <c r="K22" s="135">
        <v>2019</v>
      </c>
      <c r="L22" s="1"/>
      <c r="M22" s="93" t="s">
        <v>223</v>
      </c>
      <c r="N22" s="93">
        <v>1</v>
      </c>
      <c r="O22" s="93" t="s">
        <v>101</v>
      </c>
      <c r="P22" s="93">
        <v>3.7999999999999999E-2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thickBot="1" x14ac:dyDescent="0.25">
      <c r="A23" s="1"/>
      <c r="B23" s="125"/>
      <c r="C23" s="262"/>
      <c r="D23" s="104"/>
      <c r="E23" s="104"/>
      <c r="F23" s="93" t="s">
        <v>29</v>
      </c>
      <c r="G23" s="93">
        <v>2</v>
      </c>
      <c r="H23" s="93" t="s">
        <v>30</v>
      </c>
      <c r="I23" s="93">
        <v>649</v>
      </c>
      <c r="J23" s="99" t="s">
        <v>224</v>
      </c>
      <c r="K23" s="135">
        <v>2019</v>
      </c>
      <c r="L23" s="1"/>
      <c r="M23" s="93" t="s">
        <v>29</v>
      </c>
      <c r="N23" s="93">
        <v>2</v>
      </c>
      <c r="O23" s="93" t="s">
        <v>30</v>
      </c>
      <c r="P23" s="93">
        <v>5.2199999999999998E-3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thickBot="1" x14ac:dyDescent="0.25">
      <c r="A24" s="1"/>
      <c r="B24" s="125"/>
      <c r="C24" s="262"/>
      <c r="D24" s="104"/>
      <c r="E24" s="104"/>
      <c r="F24" s="93" t="s">
        <v>31</v>
      </c>
      <c r="G24" s="93">
        <v>2</v>
      </c>
      <c r="H24" s="93" t="s">
        <v>30</v>
      </c>
      <c r="I24" s="93">
        <v>0</v>
      </c>
      <c r="J24" s="99" t="s">
        <v>224</v>
      </c>
      <c r="K24" s="114">
        <v>2019</v>
      </c>
      <c r="L24" s="1"/>
      <c r="M24" s="93" t="s">
        <v>31</v>
      </c>
      <c r="N24" s="93">
        <v>2</v>
      </c>
      <c r="O24" s="93" t="s">
        <v>30</v>
      </c>
      <c r="P24" s="93">
        <v>5.2199999999999998E-3</v>
      </c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thickBot="1" x14ac:dyDescent="0.25">
      <c r="A25" s="1"/>
      <c r="B25" s="125"/>
      <c r="C25" s="262"/>
      <c r="D25" s="104"/>
      <c r="E25" s="104"/>
      <c r="F25" s="93" t="s">
        <v>32</v>
      </c>
      <c r="G25" s="93">
        <v>2</v>
      </c>
      <c r="H25" s="93" t="s">
        <v>30</v>
      </c>
      <c r="I25" s="93">
        <f>I23</f>
        <v>649</v>
      </c>
      <c r="J25" s="99" t="s">
        <v>224</v>
      </c>
      <c r="K25" s="134">
        <v>2019</v>
      </c>
      <c r="L25" s="1"/>
      <c r="M25" s="93" t="s">
        <v>32</v>
      </c>
      <c r="N25" s="93">
        <v>2</v>
      </c>
      <c r="O25" s="93" t="s">
        <v>30</v>
      </c>
      <c r="P25" s="93">
        <v>5.2199999999999998E-3</v>
      </c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thickBot="1" x14ac:dyDescent="0.25">
      <c r="A26" s="1"/>
      <c r="B26" s="125"/>
      <c r="C26" s="262"/>
      <c r="D26" s="104"/>
      <c r="E26" s="104"/>
      <c r="F26" s="93" t="s">
        <v>89</v>
      </c>
      <c r="G26" s="93">
        <v>2</v>
      </c>
      <c r="H26" s="93" t="s">
        <v>34</v>
      </c>
      <c r="I26" s="93">
        <v>35970</v>
      </c>
      <c r="J26" s="99" t="s">
        <v>225</v>
      </c>
      <c r="K26" s="135">
        <v>2019</v>
      </c>
      <c r="L26" s="1"/>
      <c r="M26" s="93" t="s">
        <v>35</v>
      </c>
      <c r="N26" s="93">
        <v>2</v>
      </c>
      <c r="O26" s="93" t="s">
        <v>34</v>
      </c>
      <c r="P26" s="93">
        <v>1.1100000000000001</v>
      </c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thickBot="1" x14ac:dyDescent="0.25">
      <c r="A27" s="1"/>
      <c r="B27" s="125"/>
      <c r="C27" s="262"/>
      <c r="D27" s="105"/>
      <c r="E27" s="105"/>
      <c r="F27" s="93" t="s">
        <v>38</v>
      </c>
      <c r="G27" s="124" t="s">
        <v>226</v>
      </c>
      <c r="H27" s="93" t="s">
        <v>39</v>
      </c>
      <c r="I27" s="93">
        <v>220</v>
      </c>
      <c r="J27" s="99" t="s">
        <v>227</v>
      </c>
      <c r="K27" s="114">
        <v>2019</v>
      </c>
      <c r="L27" s="1"/>
      <c r="M27" s="150"/>
      <c r="N27" s="150"/>
      <c r="O27" s="150"/>
      <c r="P27" s="150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thickTop="1" thickBot="1" x14ac:dyDescent="0.25">
      <c r="A28" s="1"/>
      <c r="B28" s="125"/>
      <c r="C28" s="262"/>
      <c r="D28" s="126"/>
      <c r="E28" s="126"/>
      <c r="F28" s="93" t="s">
        <v>40</v>
      </c>
      <c r="G28" s="124" t="s">
        <v>226</v>
      </c>
      <c r="H28" s="93" t="s">
        <v>39</v>
      </c>
      <c r="I28" s="93">
        <v>36</v>
      </c>
      <c r="J28" s="99" t="s">
        <v>227</v>
      </c>
      <c r="K28" s="135">
        <v>2019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thickBot="1" x14ac:dyDescent="0.25">
      <c r="A29" s="1"/>
      <c r="B29" s="1"/>
      <c r="C29" s="36"/>
      <c r="D29" s="1"/>
      <c r="E29" s="1"/>
      <c r="F29" s="93" t="s">
        <v>41</v>
      </c>
      <c r="G29" s="124" t="s">
        <v>226</v>
      </c>
      <c r="H29" s="93" t="s">
        <v>39</v>
      </c>
      <c r="I29" s="93">
        <v>6</v>
      </c>
      <c r="J29" s="99" t="s">
        <v>227</v>
      </c>
      <c r="K29" s="114">
        <v>2019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thickBot="1" x14ac:dyDescent="0.25">
      <c r="A30" s="1"/>
      <c r="B30" s="1"/>
      <c r="C30" s="36"/>
      <c r="D30" s="1"/>
      <c r="E30" s="1"/>
      <c r="F30" s="93" t="s">
        <v>42</v>
      </c>
      <c r="G30" s="124" t="s">
        <v>226</v>
      </c>
      <c r="H30" s="93" t="s">
        <v>39</v>
      </c>
      <c r="I30" s="93">
        <v>297</v>
      </c>
      <c r="J30" s="99" t="s">
        <v>227</v>
      </c>
      <c r="K30" s="114">
        <v>2019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thickBot="1" x14ac:dyDescent="0.25">
      <c r="A31" s="1"/>
      <c r="B31" s="1"/>
      <c r="C31" s="36"/>
      <c r="D31" s="1"/>
      <c r="E31" s="1"/>
      <c r="F31" s="93" t="s">
        <v>43</v>
      </c>
      <c r="G31" s="124" t="s">
        <v>226</v>
      </c>
      <c r="H31" s="93" t="s">
        <v>39</v>
      </c>
      <c r="I31" s="93">
        <v>200</v>
      </c>
      <c r="J31" s="99" t="s">
        <v>227</v>
      </c>
      <c r="K31" s="135">
        <v>2019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thickBot="1" x14ac:dyDescent="0.25">
      <c r="A32" s="1"/>
      <c r="B32" s="1"/>
      <c r="C32" s="36"/>
      <c r="D32" s="1"/>
      <c r="E32" s="1"/>
      <c r="F32" s="150" t="s">
        <v>44</v>
      </c>
      <c r="G32" s="154" t="s">
        <v>226</v>
      </c>
      <c r="H32" s="150" t="s">
        <v>39</v>
      </c>
      <c r="I32" s="150">
        <v>147</v>
      </c>
      <c r="J32" s="151" t="s">
        <v>227</v>
      </c>
      <c r="K32" s="155">
        <v>2019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thickTop="1" thickBot="1" x14ac:dyDescent="0.25">
      <c r="A33" s="1"/>
      <c r="B33" s="1"/>
      <c r="C33" s="36"/>
      <c r="D33" s="1"/>
      <c r="E33" s="1"/>
      <c r="F33" s="97" t="s">
        <v>21</v>
      </c>
      <c r="G33" s="156">
        <v>1</v>
      </c>
      <c r="H33" s="156" t="s">
        <v>49</v>
      </c>
      <c r="I33" s="156">
        <v>1884</v>
      </c>
      <c r="J33" s="157" t="s">
        <v>215</v>
      </c>
      <c r="K33" s="134">
        <v>2020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thickBot="1" x14ac:dyDescent="0.25">
      <c r="A34" s="1"/>
      <c r="B34" s="1"/>
      <c r="C34" s="36"/>
      <c r="D34" s="1"/>
      <c r="E34" s="1"/>
      <c r="F34" s="279" t="s">
        <v>217</v>
      </c>
      <c r="G34" s="280">
        <v>1</v>
      </c>
      <c r="H34" s="279" t="s">
        <v>34</v>
      </c>
      <c r="I34" s="279">
        <v>0.1096</v>
      </c>
      <c r="J34" s="157" t="s">
        <v>218</v>
      </c>
      <c r="K34" s="281">
        <v>2020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thickBot="1" x14ac:dyDescent="0.25">
      <c r="A35" s="1"/>
      <c r="B35" s="1"/>
      <c r="C35" s="36"/>
      <c r="D35" s="1"/>
      <c r="E35" s="1"/>
      <c r="F35" s="279" t="s">
        <v>50</v>
      </c>
      <c r="G35" s="280" t="s">
        <v>216</v>
      </c>
      <c r="H35" s="279" t="s">
        <v>49</v>
      </c>
      <c r="I35" s="279">
        <v>1962</v>
      </c>
      <c r="J35" s="157" t="s">
        <v>215</v>
      </c>
      <c r="K35" s="134">
        <v>2020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thickBot="1" x14ac:dyDescent="0.25">
      <c r="A36" s="1"/>
      <c r="B36" s="1"/>
      <c r="C36" s="36"/>
      <c r="D36" s="1"/>
      <c r="E36" s="1"/>
      <c r="F36" s="279" t="s">
        <v>48</v>
      </c>
      <c r="G36" s="154" t="s">
        <v>216</v>
      </c>
      <c r="H36" s="150" t="s">
        <v>49</v>
      </c>
      <c r="I36" s="150">
        <v>1962</v>
      </c>
      <c r="J36" s="151" t="s">
        <v>215</v>
      </c>
      <c r="K36" s="155">
        <v>2020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thickBot="1" x14ac:dyDescent="0.25">
      <c r="A37" s="1"/>
      <c r="B37" s="1"/>
      <c r="C37" s="36"/>
      <c r="D37" s="1"/>
      <c r="E37" s="1"/>
      <c r="F37" s="93" t="s">
        <v>26</v>
      </c>
      <c r="G37" s="93">
        <v>1</v>
      </c>
      <c r="H37" s="93" t="s">
        <v>49</v>
      </c>
      <c r="I37" s="93">
        <f>((65%*680)*25)</f>
        <v>11050</v>
      </c>
      <c r="J37" s="99" t="s">
        <v>215</v>
      </c>
      <c r="K37" s="135">
        <v>2020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thickBot="1" x14ac:dyDescent="0.25">
      <c r="A38" s="1"/>
      <c r="B38" s="1"/>
      <c r="C38" s="36"/>
      <c r="D38" s="1"/>
      <c r="E38" s="1"/>
      <c r="F38" s="93" t="s">
        <v>83</v>
      </c>
      <c r="G38" s="93">
        <v>1</v>
      </c>
      <c r="H38" s="93" t="s">
        <v>24</v>
      </c>
      <c r="I38" s="93">
        <v>3262</v>
      </c>
      <c r="J38" s="99" t="s">
        <v>220</v>
      </c>
      <c r="K38" s="114">
        <v>2020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thickBot="1" x14ac:dyDescent="0.25">
      <c r="A39" s="1"/>
      <c r="B39" s="1"/>
      <c r="C39" s="36"/>
      <c r="D39" s="1"/>
      <c r="E39" s="1"/>
      <c r="F39" s="93" t="s">
        <v>23</v>
      </c>
      <c r="G39" s="93">
        <v>1</v>
      </c>
      <c r="H39" s="93" t="s">
        <v>24</v>
      </c>
      <c r="I39" s="93">
        <v>3262</v>
      </c>
      <c r="J39" s="99" t="s">
        <v>220</v>
      </c>
      <c r="K39" s="134">
        <v>2020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thickBot="1" x14ac:dyDescent="0.25">
      <c r="A40" s="1"/>
      <c r="B40" s="125"/>
      <c r="C40" s="262"/>
      <c r="D40" s="104"/>
      <c r="E40" s="104"/>
      <c r="F40" s="93" t="s">
        <v>25</v>
      </c>
      <c r="G40" s="93">
        <v>1</v>
      </c>
      <c r="H40" s="93" t="s">
        <v>24</v>
      </c>
      <c r="I40" s="93">
        <v>2784</v>
      </c>
      <c r="J40" s="99" t="s">
        <v>220</v>
      </c>
      <c r="K40" s="114">
        <v>2020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thickBot="1" x14ac:dyDescent="0.25">
      <c r="A41" s="1"/>
      <c r="B41" s="1"/>
      <c r="C41" s="36"/>
      <c r="D41" s="1"/>
      <c r="E41" s="1"/>
      <c r="F41" s="93" t="s">
        <v>221</v>
      </c>
      <c r="G41" s="93">
        <v>1</v>
      </c>
      <c r="H41" s="93" t="s">
        <v>24</v>
      </c>
      <c r="I41" s="93">
        <v>345</v>
      </c>
      <c r="J41" s="99" t="s">
        <v>220</v>
      </c>
      <c r="K41" s="134">
        <v>2020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thickBot="1" x14ac:dyDescent="0.25">
      <c r="A42" s="1"/>
      <c r="B42" s="1"/>
      <c r="C42" s="36"/>
      <c r="D42" s="1"/>
      <c r="E42" s="1"/>
      <c r="F42" s="93" t="s">
        <v>222</v>
      </c>
      <c r="G42" s="93">
        <v>1</v>
      </c>
      <c r="H42" s="93" t="s">
        <v>24</v>
      </c>
      <c r="I42" s="93">
        <v>1806</v>
      </c>
      <c r="J42" s="99" t="s">
        <v>220</v>
      </c>
      <c r="K42" s="114">
        <v>2020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thickBot="1" x14ac:dyDescent="0.25">
      <c r="A43" s="1"/>
      <c r="B43" s="1"/>
      <c r="C43" s="36"/>
      <c r="D43" s="1"/>
      <c r="E43" s="1"/>
      <c r="F43" s="93" t="s">
        <v>223</v>
      </c>
      <c r="G43" s="93">
        <v>1</v>
      </c>
      <c r="H43" s="93" t="s">
        <v>101</v>
      </c>
      <c r="I43" s="93">
        <v>2728</v>
      </c>
      <c r="J43" s="99" t="s">
        <v>218</v>
      </c>
      <c r="K43" s="134">
        <v>2020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thickBot="1" x14ac:dyDescent="0.25">
      <c r="A44" s="1"/>
      <c r="B44" s="1"/>
      <c r="C44" s="36"/>
      <c r="D44" s="1"/>
      <c r="E44" s="1"/>
      <c r="F44" s="93" t="s">
        <v>29</v>
      </c>
      <c r="G44" s="93">
        <v>2</v>
      </c>
      <c r="H44" s="93" t="s">
        <v>30</v>
      </c>
      <c r="I44" s="93">
        <v>556</v>
      </c>
      <c r="J44" s="99" t="s">
        <v>224</v>
      </c>
      <c r="K44" s="134">
        <v>2020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thickBot="1" x14ac:dyDescent="0.25">
      <c r="A45" s="1"/>
      <c r="B45" s="1"/>
      <c r="C45" s="36"/>
      <c r="D45" s="1"/>
      <c r="E45" s="1"/>
      <c r="F45" s="93" t="s">
        <v>31</v>
      </c>
      <c r="G45" s="93">
        <v>2</v>
      </c>
      <c r="H45" s="93" t="s">
        <v>30</v>
      </c>
      <c r="I45" s="93">
        <v>0</v>
      </c>
      <c r="J45" s="99" t="s">
        <v>224</v>
      </c>
      <c r="K45" s="114">
        <v>2020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thickBot="1" x14ac:dyDescent="0.25">
      <c r="A46" s="1"/>
      <c r="B46" s="1"/>
      <c r="C46" s="36"/>
      <c r="D46" s="1"/>
      <c r="E46" s="1"/>
      <c r="F46" s="93" t="s">
        <v>32</v>
      </c>
      <c r="G46" s="93">
        <v>2</v>
      </c>
      <c r="H46" s="93" t="s">
        <v>30</v>
      </c>
      <c r="I46" s="93">
        <f>I44</f>
        <v>556</v>
      </c>
      <c r="J46" s="99" t="s">
        <v>224</v>
      </c>
      <c r="K46" s="134">
        <v>2020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thickBot="1" x14ac:dyDescent="0.25">
      <c r="A47" s="1"/>
      <c r="B47" s="1"/>
      <c r="C47" s="36"/>
      <c r="D47" s="1"/>
      <c r="E47" s="1"/>
      <c r="F47" s="93" t="s">
        <v>89</v>
      </c>
      <c r="G47" s="93">
        <v>2</v>
      </c>
      <c r="H47" s="93" t="s">
        <v>34</v>
      </c>
      <c r="I47" s="93">
        <v>35970</v>
      </c>
      <c r="J47" s="99" t="s">
        <v>225</v>
      </c>
      <c r="K47" s="134">
        <v>2020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thickBot="1" x14ac:dyDescent="0.25">
      <c r="A48" s="1"/>
      <c r="B48" s="1"/>
      <c r="C48" s="36"/>
      <c r="D48" s="1"/>
      <c r="E48" s="1"/>
      <c r="F48" s="93" t="s">
        <v>38</v>
      </c>
      <c r="G48" s="124" t="s">
        <v>226</v>
      </c>
      <c r="H48" s="93" t="s">
        <v>39</v>
      </c>
      <c r="I48" s="93">
        <v>195</v>
      </c>
      <c r="J48" s="99" t="s">
        <v>227</v>
      </c>
      <c r="K48" s="114">
        <v>2020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thickBot="1" x14ac:dyDescent="0.25">
      <c r="A49" s="1"/>
      <c r="B49" s="1"/>
      <c r="C49" s="36"/>
      <c r="D49" s="1"/>
      <c r="E49" s="1"/>
      <c r="F49" s="93" t="s">
        <v>40</v>
      </c>
      <c r="G49" s="124" t="s">
        <v>226</v>
      </c>
      <c r="H49" s="93" t="s">
        <v>39</v>
      </c>
      <c r="I49" s="93">
        <v>36</v>
      </c>
      <c r="J49" s="99" t="s">
        <v>227</v>
      </c>
      <c r="K49" s="134">
        <v>2020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thickBot="1" x14ac:dyDescent="0.25">
      <c r="A50" s="1"/>
      <c r="B50" s="1"/>
      <c r="C50" s="36"/>
      <c r="D50" s="1"/>
      <c r="E50" s="1"/>
      <c r="F50" s="93" t="s">
        <v>41</v>
      </c>
      <c r="G50" s="124" t="s">
        <v>226</v>
      </c>
      <c r="H50" s="93" t="s">
        <v>39</v>
      </c>
      <c r="I50" s="93">
        <v>6</v>
      </c>
      <c r="J50" s="99" t="s">
        <v>227</v>
      </c>
      <c r="K50" s="114">
        <v>2020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thickBot="1" x14ac:dyDescent="0.25">
      <c r="A51" s="1"/>
      <c r="B51" s="1"/>
      <c r="C51" s="36"/>
      <c r="D51" s="1"/>
      <c r="E51" s="1"/>
      <c r="F51" s="93" t="s">
        <v>42</v>
      </c>
      <c r="G51" s="124" t="s">
        <v>226</v>
      </c>
      <c r="H51" s="93" t="s">
        <v>39</v>
      </c>
      <c r="I51" s="93">
        <v>297</v>
      </c>
      <c r="J51" s="99" t="s">
        <v>227</v>
      </c>
      <c r="K51" s="114">
        <v>2020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thickBot="1" x14ac:dyDescent="0.25">
      <c r="A52" s="1"/>
      <c r="B52" s="1"/>
      <c r="C52" s="36"/>
      <c r="D52" s="1"/>
      <c r="E52" s="1"/>
      <c r="F52" s="93" t="s">
        <v>43</v>
      </c>
      <c r="G52" s="124" t="s">
        <v>226</v>
      </c>
      <c r="H52" s="93" t="s">
        <v>39</v>
      </c>
      <c r="I52" s="93">
        <v>200</v>
      </c>
      <c r="J52" s="99" t="s">
        <v>227</v>
      </c>
      <c r="K52" s="134">
        <v>2020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thickBot="1" x14ac:dyDescent="0.25">
      <c r="A53" s="1"/>
      <c r="B53" s="1"/>
      <c r="C53" s="36"/>
      <c r="D53" s="1"/>
      <c r="E53" s="1"/>
      <c r="F53" s="150" t="s">
        <v>44</v>
      </c>
      <c r="G53" s="154" t="s">
        <v>226</v>
      </c>
      <c r="H53" s="150" t="s">
        <v>39</v>
      </c>
      <c r="I53" s="150">
        <v>147</v>
      </c>
      <c r="J53" s="151" t="s">
        <v>227</v>
      </c>
      <c r="K53" s="155">
        <v>2020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thickTop="1" thickBot="1" x14ac:dyDescent="0.25">
      <c r="A54" s="1"/>
      <c r="B54" s="1"/>
      <c r="C54" s="36"/>
      <c r="D54" s="1"/>
      <c r="E54" s="1"/>
      <c r="F54" s="97" t="s">
        <v>21</v>
      </c>
      <c r="G54" s="156">
        <v>1</v>
      </c>
      <c r="H54" s="156" t="s">
        <v>49</v>
      </c>
      <c r="I54" s="156">
        <v>1884</v>
      </c>
      <c r="J54" s="157" t="s">
        <v>215</v>
      </c>
      <c r="K54" s="134">
        <v>2021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thickBot="1" x14ac:dyDescent="0.25">
      <c r="A55" s="1"/>
      <c r="B55" s="1"/>
      <c r="C55" s="36"/>
      <c r="D55" s="1"/>
      <c r="E55" s="1"/>
      <c r="F55" s="279" t="s">
        <v>217</v>
      </c>
      <c r="G55" s="280">
        <v>1</v>
      </c>
      <c r="H55" s="279" t="s">
        <v>34</v>
      </c>
      <c r="I55" s="279">
        <v>0.1096</v>
      </c>
      <c r="J55" s="157" t="s">
        <v>218</v>
      </c>
      <c r="K55" s="281">
        <v>2021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thickBot="1" x14ac:dyDescent="0.25">
      <c r="A56" s="1"/>
      <c r="B56" s="1"/>
      <c r="C56" s="36"/>
      <c r="D56" s="1"/>
      <c r="E56" s="1"/>
      <c r="F56" s="279" t="s">
        <v>50</v>
      </c>
      <c r="G56" s="280" t="s">
        <v>216</v>
      </c>
      <c r="H56" s="279" t="s">
        <v>49</v>
      </c>
      <c r="I56" s="279">
        <v>1962</v>
      </c>
      <c r="J56" s="157" t="s">
        <v>215</v>
      </c>
      <c r="K56" s="134">
        <v>2021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thickBot="1" x14ac:dyDescent="0.25">
      <c r="A57" s="1"/>
      <c r="B57" s="1"/>
      <c r="C57" s="36"/>
      <c r="D57" s="1"/>
      <c r="E57" s="1"/>
      <c r="F57" s="279" t="s">
        <v>48</v>
      </c>
      <c r="G57" s="154" t="s">
        <v>216</v>
      </c>
      <c r="H57" s="150" t="s">
        <v>49</v>
      </c>
      <c r="I57" s="150">
        <v>1962</v>
      </c>
      <c r="J57" s="151" t="s">
        <v>215</v>
      </c>
      <c r="K57" s="155">
        <v>2021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thickBot="1" x14ac:dyDescent="0.25">
      <c r="A58" s="1"/>
      <c r="B58" s="1"/>
      <c r="C58" s="36"/>
      <c r="D58" s="1"/>
      <c r="E58" s="1"/>
      <c r="F58" s="93" t="s">
        <v>83</v>
      </c>
      <c r="G58" s="93">
        <v>1</v>
      </c>
      <c r="H58" s="93" t="s">
        <v>24</v>
      </c>
      <c r="I58" s="93">
        <v>3262</v>
      </c>
      <c r="J58" s="99" t="s">
        <v>220</v>
      </c>
      <c r="K58" s="114">
        <v>2021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thickBot="1" x14ac:dyDescent="0.25">
      <c r="A59" s="1"/>
      <c r="B59" s="1"/>
      <c r="C59" s="36"/>
      <c r="D59" s="1"/>
      <c r="E59" s="1"/>
      <c r="F59" s="93" t="s">
        <v>23</v>
      </c>
      <c r="G59" s="93">
        <v>1</v>
      </c>
      <c r="H59" s="93" t="s">
        <v>24</v>
      </c>
      <c r="I59" s="93">
        <v>3262</v>
      </c>
      <c r="J59" s="99" t="s">
        <v>220</v>
      </c>
      <c r="K59" s="135">
        <v>2021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thickBot="1" x14ac:dyDescent="0.25">
      <c r="A60" s="1"/>
      <c r="B60" s="1"/>
      <c r="C60" s="36"/>
      <c r="D60" s="1"/>
      <c r="E60" s="1"/>
      <c r="F60" s="93" t="s">
        <v>25</v>
      </c>
      <c r="G60" s="93">
        <v>1</v>
      </c>
      <c r="H60" s="93" t="s">
        <v>24</v>
      </c>
      <c r="I60" s="93">
        <v>2784</v>
      </c>
      <c r="J60" s="99" t="s">
        <v>220</v>
      </c>
      <c r="K60" s="114">
        <v>2021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thickBot="1" x14ac:dyDescent="0.25">
      <c r="A61" s="1"/>
      <c r="B61" s="1"/>
      <c r="C61" s="36"/>
      <c r="D61" s="1"/>
      <c r="E61" s="1"/>
      <c r="F61" s="93" t="s">
        <v>221</v>
      </c>
      <c r="G61" s="93">
        <v>1</v>
      </c>
      <c r="H61" s="93" t="s">
        <v>24</v>
      </c>
      <c r="I61" s="93">
        <v>314</v>
      </c>
      <c r="J61" s="99" t="s">
        <v>220</v>
      </c>
      <c r="K61" s="135">
        <v>2021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thickBot="1" x14ac:dyDescent="0.25">
      <c r="A62" s="1"/>
      <c r="B62" s="1"/>
      <c r="C62" s="36"/>
      <c r="D62" s="1"/>
      <c r="E62" s="1"/>
      <c r="F62" s="93" t="s">
        <v>222</v>
      </c>
      <c r="G62" s="93">
        <v>1</v>
      </c>
      <c r="H62" s="93" t="s">
        <v>24</v>
      </c>
      <c r="I62" s="93">
        <v>1798</v>
      </c>
      <c r="J62" s="99" t="s">
        <v>220</v>
      </c>
      <c r="K62" s="114">
        <v>2021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thickBot="1" x14ac:dyDescent="0.25">
      <c r="A63" s="1"/>
      <c r="B63" s="1"/>
      <c r="C63" s="36"/>
      <c r="D63" s="1"/>
      <c r="E63" s="1"/>
      <c r="F63" s="93" t="s">
        <v>223</v>
      </c>
      <c r="G63" s="93">
        <v>1</v>
      </c>
      <c r="H63" s="93" t="s">
        <v>101</v>
      </c>
      <c r="I63" s="93">
        <v>2633</v>
      </c>
      <c r="J63" s="99" t="s">
        <v>218</v>
      </c>
      <c r="K63" s="135">
        <v>2021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thickBot="1" x14ac:dyDescent="0.25">
      <c r="A64" s="1"/>
      <c r="B64" s="1"/>
      <c r="C64" s="36"/>
      <c r="D64" s="1"/>
      <c r="E64" s="1"/>
      <c r="F64" s="93" t="s">
        <v>29</v>
      </c>
      <c r="G64" s="93">
        <v>2</v>
      </c>
      <c r="H64" s="93" t="s">
        <v>30</v>
      </c>
      <c r="I64" s="93">
        <v>556</v>
      </c>
      <c r="J64" s="99" t="s">
        <v>224</v>
      </c>
      <c r="K64" s="135">
        <v>2021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thickBot="1" x14ac:dyDescent="0.25">
      <c r="A65" s="1"/>
      <c r="B65" s="1"/>
      <c r="C65" s="36"/>
      <c r="D65" s="1"/>
      <c r="E65" s="1"/>
      <c r="F65" s="93" t="s">
        <v>31</v>
      </c>
      <c r="G65" s="93">
        <v>2</v>
      </c>
      <c r="H65" s="93" t="s">
        <v>30</v>
      </c>
      <c r="I65" s="93">
        <v>0</v>
      </c>
      <c r="J65" s="99" t="s">
        <v>224</v>
      </c>
      <c r="K65" s="114">
        <v>2021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thickBot="1" x14ac:dyDescent="0.25">
      <c r="A66" s="1"/>
      <c r="B66" s="1"/>
      <c r="C66" s="36"/>
      <c r="D66" s="1"/>
      <c r="E66" s="1"/>
      <c r="F66" s="93" t="s">
        <v>32</v>
      </c>
      <c r="G66" s="93">
        <v>2</v>
      </c>
      <c r="H66" s="93" t="s">
        <v>30</v>
      </c>
      <c r="I66" s="93">
        <f>I64</f>
        <v>556</v>
      </c>
      <c r="J66" s="99" t="s">
        <v>224</v>
      </c>
      <c r="K66" s="134">
        <v>2021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thickBot="1" x14ac:dyDescent="0.25">
      <c r="A67" s="1"/>
      <c r="B67" s="1"/>
      <c r="C67" s="36"/>
      <c r="D67" s="1"/>
      <c r="E67" s="1"/>
      <c r="F67" s="93" t="s">
        <v>33</v>
      </c>
      <c r="G67" s="93">
        <v>1</v>
      </c>
      <c r="H67" s="93" t="s">
        <v>39</v>
      </c>
      <c r="I67" s="93">
        <v>92</v>
      </c>
      <c r="J67" s="99" t="s">
        <v>227</v>
      </c>
      <c r="K67" s="134">
        <v>2021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thickBot="1" x14ac:dyDescent="0.25">
      <c r="A68" s="1"/>
      <c r="B68" s="1"/>
      <c r="C68" s="36"/>
      <c r="D68" s="1"/>
      <c r="E68" s="1"/>
      <c r="F68" s="93" t="s">
        <v>89</v>
      </c>
      <c r="G68" s="93">
        <v>2</v>
      </c>
      <c r="H68" s="93" t="s">
        <v>34</v>
      </c>
      <c r="I68" s="93">
        <v>35970</v>
      </c>
      <c r="J68" s="99" t="s">
        <v>225</v>
      </c>
      <c r="K68" s="135">
        <v>2021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thickBot="1" x14ac:dyDescent="0.25">
      <c r="A69" s="1"/>
      <c r="B69" s="1"/>
      <c r="C69" s="36"/>
      <c r="D69" s="1"/>
      <c r="E69" s="1"/>
      <c r="F69" s="93" t="s">
        <v>38</v>
      </c>
      <c r="G69" s="124" t="s">
        <v>226</v>
      </c>
      <c r="H69" s="93" t="s">
        <v>39</v>
      </c>
      <c r="I69" s="93">
        <v>195</v>
      </c>
      <c r="J69" s="99" t="s">
        <v>227</v>
      </c>
      <c r="K69" s="114">
        <v>2021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thickBot="1" x14ac:dyDescent="0.25">
      <c r="A70" s="1"/>
      <c r="B70" s="1"/>
      <c r="C70" s="36"/>
      <c r="D70" s="1"/>
      <c r="E70" s="1"/>
      <c r="F70" s="93" t="s">
        <v>41</v>
      </c>
      <c r="G70" s="124" t="s">
        <v>226</v>
      </c>
      <c r="H70" s="93" t="s">
        <v>39</v>
      </c>
      <c r="I70" s="93">
        <v>2</v>
      </c>
      <c r="J70" s="99" t="s">
        <v>227</v>
      </c>
      <c r="K70" s="114">
        <v>2021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thickBot="1" x14ac:dyDescent="0.25">
      <c r="A71" s="1"/>
      <c r="B71" s="1"/>
      <c r="C71" s="36"/>
      <c r="D71" s="1"/>
      <c r="E71" s="1"/>
      <c r="F71" s="93" t="s">
        <v>40</v>
      </c>
      <c r="G71" s="124" t="s">
        <v>226</v>
      </c>
      <c r="H71" s="93" t="s">
        <v>39</v>
      </c>
      <c r="I71" s="93">
        <v>15</v>
      </c>
      <c r="J71" s="99" t="s">
        <v>227</v>
      </c>
      <c r="K71" s="135">
        <v>2021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thickBot="1" x14ac:dyDescent="0.25">
      <c r="A72" s="1"/>
      <c r="B72" s="1"/>
      <c r="C72" s="36"/>
      <c r="D72" s="1"/>
      <c r="E72" s="1"/>
      <c r="F72" s="93" t="s">
        <v>42</v>
      </c>
      <c r="G72" s="124" t="s">
        <v>226</v>
      </c>
      <c r="H72" s="93" t="s">
        <v>39</v>
      </c>
      <c r="I72" s="93">
        <v>297</v>
      </c>
      <c r="J72" s="99" t="s">
        <v>227</v>
      </c>
      <c r="K72" s="114">
        <v>2021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thickBot="1" x14ac:dyDescent="0.25">
      <c r="A73" s="1"/>
      <c r="B73" s="1"/>
      <c r="C73" s="36"/>
      <c r="D73" s="1"/>
      <c r="E73" s="1"/>
      <c r="F73" s="93" t="s">
        <v>43</v>
      </c>
      <c r="G73" s="124" t="s">
        <v>226</v>
      </c>
      <c r="H73" s="93" t="s">
        <v>39</v>
      </c>
      <c r="I73" s="93">
        <v>200</v>
      </c>
      <c r="J73" s="99" t="s">
        <v>227</v>
      </c>
      <c r="K73" s="135">
        <v>2021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thickBot="1" x14ac:dyDescent="0.25">
      <c r="A74" s="1"/>
      <c r="B74" s="1"/>
      <c r="C74" s="36"/>
      <c r="D74" s="1"/>
      <c r="E74" s="1"/>
      <c r="F74" s="150" t="s">
        <v>44</v>
      </c>
      <c r="G74" s="154" t="s">
        <v>226</v>
      </c>
      <c r="H74" s="150" t="s">
        <v>39</v>
      </c>
      <c r="I74" s="150">
        <v>147</v>
      </c>
      <c r="J74" s="151" t="s">
        <v>227</v>
      </c>
      <c r="K74" s="155">
        <v>2021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thickTop="1" thickBot="1" x14ac:dyDescent="0.25">
      <c r="A75" s="1"/>
      <c r="B75" s="1"/>
      <c r="C75" s="36"/>
      <c r="D75" s="1"/>
      <c r="E75" s="1"/>
      <c r="F75" s="97" t="s">
        <v>21</v>
      </c>
      <c r="G75" s="156">
        <v>1</v>
      </c>
      <c r="H75" s="156" t="s">
        <v>49</v>
      </c>
      <c r="I75" s="156">
        <v>2085</v>
      </c>
      <c r="J75" s="157" t="s">
        <v>215</v>
      </c>
      <c r="K75" s="134">
        <v>2022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thickBot="1" x14ac:dyDescent="0.25">
      <c r="A76" s="1"/>
      <c r="B76" s="1"/>
      <c r="C76" s="36"/>
      <c r="D76" s="1"/>
      <c r="E76" s="1"/>
      <c r="F76" s="279" t="s">
        <v>50</v>
      </c>
      <c r="G76" s="280" t="s">
        <v>216</v>
      </c>
      <c r="H76" s="279" t="s">
        <v>49</v>
      </c>
      <c r="I76" s="279">
        <v>1964</v>
      </c>
      <c r="J76" s="157" t="s">
        <v>215</v>
      </c>
      <c r="K76" s="134">
        <v>2022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thickBot="1" x14ac:dyDescent="0.25">
      <c r="A77" s="1"/>
      <c r="B77" s="1"/>
      <c r="C77" s="36"/>
      <c r="D77" s="1"/>
      <c r="E77" s="1"/>
      <c r="F77" s="279" t="s">
        <v>48</v>
      </c>
      <c r="G77" s="280" t="s">
        <v>216</v>
      </c>
      <c r="H77" s="279" t="s">
        <v>49</v>
      </c>
      <c r="I77" s="279">
        <v>1964</v>
      </c>
      <c r="J77" s="157" t="s">
        <v>215</v>
      </c>
      <c r="K77" s="134">
        <v>2022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thickBot="1" x14ac:dyDescent="0.25">
      <c r="A78" s="1"/>
      <c r="B78" s="1"/>
      <c r="C78" s="36"/>
      <c r="D78" s="1"/>
      <c r="E78" s="1"/>
      <c r="F78" s="93" t="s">
        <v>83</v>
      </c>
      <c r="G78" s="93">
        <v>1</v>
      </c>
      <c r="H78" s="93" t="s">
        <v>24</v>
      </c>
      <c r="I78" s="93">
        <v>3262</v>
      </c>
      <c r="J78" s="99" t="s">
        <v>220</v>
      </c>
      <c r="K78" s="134">
        <v>2022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thickBot="1" x14ac:dyDescent="0.25">
      <c r="A79" s="1"/>
      <c r="B79" s="1"/>
      <c r="C79" s="36"/>
      <c r="D79" s="1"/>
      <c r="E79" s="1"/>
      <c r="F79" s="93" t="s">
        <v>23</v>
      </c>
      <c r="G79" s="93">
        <v>1</v>
      </c>
      <c r="H79" s="93" t="s">
        <v>24</v>
      </c>
      <c r="I79" s="93">
        <v>3262</v>
      </c>
      <c r="J79" s="99" t="s">
        <v>220</v>
      </c>
      <c r="K79" s="134">
        <v>2022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thickBot="1" x14ac:dyDescent="0.25">
      <c r="A80" s="1"/>
      <c r="B80" s="1"/>
      <c r="C80" s="36"/>
      <c r="D80" s="1"/>
      <c r="E80" s="1"/>
      <c r="F80" s="93" t="s">
        <v>25</v>
      </c>
      <c r="G80" s="93">
        <v>1</v>
      </c>
      <c r="H80" s="93" t="s">
        <v>24</v>
      </c>
      <c r="I80" s="93">
        <v>2784</v>
      </c>
      <c r="J80" s="99" t="s">
        <v>220</v>
      </c>
      <c r="K80" s="134">
        <v>2022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thickBot="1" x14ac:dyDescent="0.25">
      <c r="A81" s="1"/>
      <c r="B81" s="1"/>
      <c r="C81" s="36"/>
      <c r="D81" s="1"/>
      <c r="E81" s="1"/>
      <c r="F81" s="93" t="s">
        <v>221</v>
      </c>
      <c r="G81" s="93">
        <v>1</v>
      </c>
      <c r="H81" s="93" t="s">
        <v>24</v>
      </c>
      <c r="I81" s="93">
        <v>314</v>
      </c>
      <c r="J81" s="99" t="s">
        <v>220</v>
      </c>
      <c r="K81" s="134">
        <v>2022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thickBot="1" x14ac:dyDescent="0.25">
      <c r="A82" s="1"/>
      <c r="B82" s="1"/>
      <c r="C82" s="36"/>
      <c r="D82" s="1"/>
      <c r="E82" s="1"/>
      <c r="F82" s="93" t="s">
        <v>222</v>
      </c>
      <c r="G82" s="93">
        <v>1</v>
      </c>
      <c r="H82" s="93" t="s">
        <v>24</v>
      </c>
      <c r="I82" s="93">
        <v>1798</v>
      </c>
      <c r="J82" s="99" t="s">
        <v>220</v>
      </c>
      <c r="K82" s="134">
        <v>2022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thickBot="1" x14ac:dyDescent="0.25">
      <c r="A83" s="1"/>
      <c r="B83" s="1"/>
      <c r="C83" s="36"/>
      <c r="D83" s="1"/>
      <c r="E83" s="1"/>
      <c r="F83" s="93" t="s">
        <v>223</v>
      </c>
      <c r="G83" s="93">
        <v>1</v>
      </c>
      <c r="H83" s="93" t="s">
        <v>101</v>
      </c>
      <c r="I83" s="93">
        <v>2633</v>
      </c>
      <c r="J83" s="99" t="s">
        <v>218</v>
      </c>
      <c r="K83" s="134">
        <v>2022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thickBot="1" x14ac:dyDescent="0.25">
      <c r="A84" s="1"/>
      <c r="B84" s="1"/>
      <c r="C84" s="36"/>
      <c r="D84" s="1"/>
      <c r="E84" s="1"/>
      <c r="F84" s="93" t="s">
        <v>29</v>
      </c>
      <c r="G84" s="93">
        <v>2</v>
      </c>
      <c r="H84" s="93" t="s">
        <v>30</v>
      </c>
      <c r="I84" s="93">
        <v>523</v>
      </c>
      <c r="J84" s="99" t="s">
        <v>224</v>
      </c>
      <c r="K84" s="134">
        <v>2022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thickBot="1" x14ac:dyDescent="0.25">
      <c r="A85" s="1"/>
      <c r="B85" s="1"/>
      <c r="C85" s="36"/>
      <c r="D85" s="1"/>
      <c r="E85" s="1"/>
      <c r="F85" s="93" t="s">
        <v>31</v>
      </c>
      <c r="G85" s="93">
        <v>2</v>
      </c>
      <c r="H85" s="93" t="s">
        <v>30</v>
      </c>
      <c r="I85" s="93">
        <v>0</v>
      </c>
      <c r="J85" s="99" t="s">
        <v>224</v>
      </c>
      <c r="K85" s="134">
        <v>2022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thickBot="1" x14ac:dyDescent="0.25">
      <c r="A86" s="1"/>
      <c r="B86" s="1"/>
      <c r="C86" s="36"/>
      <c r="D86" s="1"/>
      <c r="E86" s="1"/>
      <c r="F86" s="93" t="s">
        <v>32</v>
      </c>
      <c r="G86" s="93">
        <v>2</v>
      </c>
      <c r="H86" s="93" t="s">
        <v>30</v>
      </c>
      <c r="I86" s="93">
        <f>I84</f>
        <v>523</v>
      </c>
      <c r="J86" s="99" t="s">
        <v>224</v>
      </c>
      <c r="K86" s="134">
        <v>2022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thickBot="1" x14ac:dyDescent="0.25">
      <c r="A87" s="1"/>
      <c r="B87" s="1"/>
      <c r="C87" s="36"/>
      <c r="D87" s="1"/>
      <c r="E87" s="1"/>
      <c r="F87" s="93" t="s">
        <v>197</v>
      </c>
      <c r="G87" s="93">
        <v>1</v>
      </c>
      <c r="H87" s="93" t="s">
        <v>39</v>
      </c>
      <c r="I87" s="93">
        <v>0</v>
      </c>
      <c r="J87" s="99" t="s">
        <v>227</v>
      </c>
      <c r="K87" s="114">
        <v>2022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thickBot="1" x14ac:dyDescent="0.25">
      <c r="A88" s="1"/>
      <c r="B88" s="1"/>
      <c r="C88" s="36"/>
      <c r="D88" s="1"/>
      <c r="E88" s="1"/>
      <c r="F88" s="93" t="s">
        <v>89</v>
      </c>
      <c r="G88" s="93">
        <v>2</v>
      </c>
      <c r="H88" s="93" t="s">
        <v>34</v>
      </c>
      <c r="I88" s="93">
        <v>26840</v>
      </c>
      <c r="J88" s="99" t="s">
        <v>225</v>
      </c>
      <c r="K88" s="134">
        <v>2022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thickBot="1" x14ac:dyDescent="0.25">
      <c r="A89" s="1"/>
      <c r="B89" s="1"/>
      <c r="C89" s="36"/>
      <c r="D89" s="1"/>
      <c r="E89" s="1"/>
      <c r="F89" s="93" t="s">
        <v>38</v>
      </c>
      <c r="G89" s="124" t="s">
        <v>226</v>
      </c>
      <c r="H89" s="93" t="s">
        <v>39</v>
      </c>
      <c r="I89" s="93">
        <v>193</v>
      </c>
      <c r="J89" s="99" t="s">
        <v>227</v>
      </c>
      <c r="K89" s="134">
        <v>2022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thickBot="1" x14ac:dyDescent="0.25">
      <c r="A90" s="1"/>
      <c r="B90" s="1"/>
      <c r="C90" s="36"/>
      <c r="D90" s="1"/>
      <c r="E90" s="1"/>
      <c r="F90" s="93" t="s">
        <v>40</v>
      </c>
      <c r="G90" s="124" t="s">
        <v>226</v>
      </c>
      <c r="H90" s="93" t="s">
        <v>39</v>
      </c>
      <c r="I90" s="93">
        <v>15</v>
      </c>
      <c r="J90" s="99" t="s">
        <v>227</v>
      </c>
      <c r="K90" s="134">
        <v>2022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thickBot="1" x14ac:dyDescent="0.25">
      <c r="A91" s="1"/>
      <c r="B91" s="1"/>
      <c r="C91" s="36"/>
      <c r="D91" s="1"/>
      <c r="E91" s="1"/>
      <c r="F91" s="93" t="s">
        <v>42</v>
      </c>
      <c r="G91" s="124" t="s">
        <v>226</v>
      </c>
      <c r="H91" s="93" t="s">
        <v>39</v>
      </c>
      <c r="I91" s="93">
        <v>234</v>
      </c>
      <c r="J91" s="99" t="s">
        <v>227</v>
      </c>
      <c r="K91" s="134">
        <v>2022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thickBot="1" x14ac:dyDescent="0.25">
      <c r="A92" s="1"/>
      <c r="B92" s="1"/>
      <c r="C92" s="36"/>
      <c r="D92" s="1"/>
      <c r="E92" s="1"/>
      <c r="F92" s="93" t="s">
        <v>43</v>
      </c>
      <c r="G92" s="124" t="s">
        <v>226</v>
      </c>
      <c r="H92" s="93" t="s">
        <v>39</v>
      </c>
      <c r="I92" s="93">
        <v>172</v>
      </c>
      <c r="J92" s="99" t="s">
        <v>227</v>
      </c>
      <c r="K92" s="134">
        <v>2022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thickBot="1" x14ac:dyDescent="0.25">
      <c r="A93" s="1"/>
      <c r="B93" s="1"/>
      <c r="C93" s="36"/>
      <c r="D93" s="1"/>
      <c r="E93" s="1"/>
      <c r="F93" s="150" t="s">
        <v>44</v>
      </c>
      <c r="G93" s="154" t="s">
        <v>226</v>
      </c>
      <c r="H93" s="150" t="s">
        <v>39</v>
      </c>
      <c r="I93" s="150">
        <v>157</v>
      </c>
      <c r="J93" s="151" t="s">
        <v>227</v>
      </c>
      <c r="K93" s="134">
        <v>2022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thickTop="1" thickBot="1" x14ac:dyDescent="0.25">
      <c r="A94" s="1"/>
      <c r="B94" s="1"/>
      <c r="C94" s="36"/>
      <c r="D94" s="1"/>
      <c r="E94" s="1"/>
      <c r="F94" s="97" t="s">
        <v>21</v>
      </c>
      <c r="G94" s="156">
        <v>1</v>
      </c>
      <c r="H94" s="156" t="s">
        <v>49</v>
      </c>
      <c r="I94" s="156">
        <v>2079</v>
      </c>
      <c r="J94" s="157" t="s">
        <v>215</v>
      </c>
      <c r="K94" s="134">
        <v>2023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thickBot="1" x14ac:dyDescent="0.25">
      <c r="A95" s="1"/>
      <c r="B95" s="1"/>
      <c r="C95" s="36"/>
      <c r="D95" s="1"/>
      <c r="E95" s="1"/>
      <c r="F95" s="93" t="s">
        <v>83</v>
      </c>
      <c r="G95" s="93">
        <v>1</v>
      </c>
      <c r="H95" s="93" t="s">
        <v>24</v>
      </c>
      <c r="I95" s="93">
        <v>3256</v>
      </c>
      <c r="J95" s="99" t="s">
        <v>220</v>
      </c>
      <c r="K95" s="134">
        <v>2023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thickBot="1" x14ac:dyDescent="0.25">
      <c r="A96" s="1"/>
      <c r="B96" s="1"/>
      <c r="C96" s="36"/>
      <c r="D96" s="1"/>
      <c r="E96" s="1"/>
      <c r="F96" s="93" t="s">
        <v>23</v>
      </c>
      <c r="G96" s="93">
        <v>1</v>
      </c>
      <c r="H96" s="93" t="s">
        <v>24</v>
      </c>
      <c r="I96" s="93">
        <v>3256</v>
      </c>
      <c r="J96" s="99" t="s">
        <v>220</v>
      </c>
      <c r="K96" s="134">
        <v>2023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thickBot="1" x14ac:dyDescent="0.25">
      <c r="A97" s="1"/>
      <c r="B97" s="1"/>
      <c r="C97" s="36"/>
      <c r="D97" s="1"/>
      <c r="E97" s="1"/>
      <c r="F97" s="93" t="s">
        <v>25</v>
      </c>
      <c r="G97" s="93">
        <v>1</v>
      </c>
      <c r="H97" s="93" t="s">
        <v>24</v>
      </c>
      <c r="I97" s="93">
        <v>2821</v>
      </c>
      <c r="J97" s="99" t="s">
        <v>220</v>
      </c>
      <c r="K97" s="134">
        <v>2023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thickBot="1" x14ac:dyDescent="0.25">
      <c r="A98" s="1"/>
      <c r="B98" s="1"/>
      <c r="C98" s="36"/>
      <c r="D98" s="1"/>
      <c r="E98" s="1"/>
      <c r="F98" s="93" t="s">
        <v>221</v>
      </c>
      <c r="G98" s="93">
        <v>1</v>
      </c>
      <c r="H98" s="93" t="s">
        <v>24</v>
      </c>
      <c r="I98" s="93">
        <v>347</v>
      </c>
      <c r="J98" s="99" t="s">
        <v>220</v>
      </c>
      <c r="K98" s="134">
        <v>2023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thickBot="1" x14ac:dyDescent="0.25">
      <c r="A99" s="1"/>
      <c r="B99" s="1"/>
      <c r="C99" s="36"/>
      <c r="D99" s="1"/>
      <c r="E99" s="1"/>
      <c r="F99" s="93" t="s">
        <v>222</v>
      </c>
      <c r="G99" s="93">
        <v>1</v>
      </c>
      <c r="H99" s="93" t="s">
        <v>24</v>
      </c>
      <c r="I99" s="93">
        <v>1802</v>
      </c>
      <c r="J99" s="99" t="s">
        <v>220</v>
      </c>
      <c r="K99" s="134">
        <v>2023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thickBot="1" x14ac:dyDescent="0.25">
      <c r="A100" s="1"/>
      <c r="B100" s="1"/>
      <c r="C100" s="36"/>
      <c r="D100" s="1"/>
      <c r="E100" s="1"/>
      <c r="F100" s="93" t="s">
        <v>223</v>
      </c>
      <c r="G100" s="93">
        <v>1</v>
      </c>
      <c r="H100" s="93" t="s">
        <v>101</v>
      </c>
      <c r="I100" s="93">
        <v>2608</v>
      </c>
      <c r="J100" s="99" t="s">
        <v>218</v>
      </c>
      <c r="K100" s="134">
        <v>2023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thickBot="1" x14ac:dyDescent="0.25">
      <c r="A101" s="1"/>
      <c r="B101" s="1"/>
      <c r="C101" s="36"/>
      <c r="D101" s="1"/>
      <c r="E101" s="1"/>
      <c r="F101" s="93" t="s">
        <v>29</v>
      </c>
      <c r="G101" s="93">
        <v>2</v>
      </c>
      <c r="H101" s="93" t="s">
        <v>30</v>
      </c>
      <c r="I101" s="93">
        <v>456</v>
      </c>
      <c r="J101" s="99" t="s">
        <v>224</v>
      </c>
      <c r="K101" s="134">
        <v>2023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thickBot="1" x14ac:dyDescent="0.25">
      <c r="A102" s="1"/>
      <c r="B102" s="1"/>
      <c r="C102" s="36"/>
      <c r="D102" s="1"/>
      <c r="E102" s="1"/>
      <c r="F102" s="93" t="s">
        <v>31</v>
      </c>
      <c r="G102" s="93">
        <v>2</v>
      </c>
      <c r="H102" s="93" t="s">
        <v>30</v>
      </c>
      <c r="I102" s="93">
        <v>0</v>
      </c>
      <c r="J102" s="99" t="s">
        <v>224</v>
      </c>
      <c r="K102" s="134">
        <v>2023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thickBot="1" x14ac:dyDescent="0.25">
      <c r="A103" s="1"/>
      <c r="B103" s="1"/>
      <c r="C103" s="36"/>
      <c r="D103" s="1"/>
      <c r="E103" s="1"/>
      <c r="F103" s="93" t="s">
        <v>32</v>
      </c>
      <c r="G103" s="93">
        <v>2</v>
      </c>
      <c r="H103" s="93" t="s">
        <v>30</v>
      </c>
      <c r="I103" s="93">
        <f>I101</f>
        <v>456</v>
      </c>
      <c r="J103" s="99" t="s">
        <v>224</v>
      </c>
      <c r="K103" s="134">
        <v>2023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thickBot="1" x14ac:dyDescent="0.25">
      <c r="A104" s="1"/>
      <c r="B104" s="1"/>
      <c r="C104" s="36"/>
      <c r="D104" s="1"/>
      <c r="E104" s="1"/>
      <c r="F104" s="93" t="s">
        <v>89</v>
      </c>
      <c r="G104" s="93">
        <v>2</v>
      </c>
      <c r="H104" s="93" t="s">
        <v>34</v>
      </c>
      <c r="I104" s="93">
        <v>25370</v>
      </c>
      <c r="J104" s="99" t="s">
        <v>225</v>
      </c>
      <c r="K104" s="134">
        <v>2023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thickBot="1" x14ac:dyDescent="0.25">
      <c r="A105" s="1"/>
      <c r="B105" s="1"/>
      <c r="C105" s="36"/>
      <c r="D105" s="1"/>
      <c r="E105" s="1"/>
      <c r="F105" s="93" t="s">
        <v>38</v>
      </c>
      <c r="G105" s="124" t="s">
        <v>226</v>
      </c>
      <c r="H105" s="93" t="s">
        <v>39</v>
      </c>
      <c r="I105" s="93">
        <v>193</v>
      </c>
      <c r="J105" s="99" t="s">
        <v>227</v>
      </c>
      <c r="K105" s="134">
        <v>2023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thickBot="1" x14ac:dyDescent="0.25">
      <c r="A106" s="1"/>
      <c r="B106" s="1"/>
      <c r="C106" s="36"/>
      <c r="D106" s="1"/>
      <c r="E106" s="1"/>
      <c r="F106" s="93" t="s">
        <v>40</v>
      </c>
      <c r="G106" s="124" t="s">
        <v>226</v>
      </c>
      <c r="H106" s="93" t="s">
        <v>39</v>
      </c>
      <c r="I106" s="93">
        <v>20</v>
      </c>
      <c r="J106" s="99" t="s">
        <v>227</v>
      </c>
      <c r="K106" s="134">
        <v>2023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thickBot="1" x14ac:dyDescent="0.25">
      <c r="A107" s="1"/>
      <c r="B107" s="1"/>
      <c r="C107" s="36"/>
      <c r="D107" s="1"/>
      <c r="E107" s="1"/>
      <c r="F107" s="93" t="s">
        <v>42</v>
      </c>
      <c r="G107" s="124" t="s">
        <v>226</v>
      </c>
      <c r="H107" s="93" t="s">
        <v>39</v>
      </c>
      <c r="I107" s="93">
        <v>234</v>
      </c>
      <c r="J107" s="99" t="s">
        <v>227</v>
      </c>
      <c r="K107" s="134">
        <v>2023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thickBot="1" x14ac:dyDescent="0.25">
      <c r="A108" s="1"/>
      <c r="B108" s="1"/>
      <c r="C108" s="36"/>
      <c r="D108" s="1"/>
      <c r="E108" s="1"/>
      <c r="F108" s="93" t="s">
        <v>43</v>
      </c>
      <c r="G108" s="124" t="s">
        <v>226</v>
      </c>
      <c r="H108" s="93" t="s">
        <v>39</v>
      </c>
      <c r="I108" s="93">
        <v>172</v>
      </c>
      <c r="J108" s="99" t="s">
        <v>227</v>
      </c>
      <c r="K108" s="134">
        <v>2023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thickBot="1" x14ac:dyDescent="0.25">
      <c r="A109" s="1"/>
      <c r="B109" s="1"/>
      <c r="C109" s="36"/>
      <c r="D109" s="1"/>
      <c r="E109" s="1"/>
      <c r="F109" s="150" t="s">
        <v>44</v>
      </c>
      <c r="G109" s="154" t="s">
        <v>226</v>
      </c>
      <c r="H109" s="150" t="s">
        <v>39</v>
      </c>
      <c r="I109" s="150">
        <v>157</v>
      </c>
      <c r="J109" s="151" t="s">
        <v>227</v>
      </c>
      <c r="K109" s="134">
        <v>2023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">
      <c r="A110" s="1"/>
      <c r="B110" s="1"/>
      <c r="C110" s="36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">
      <c r="A111" s="1"/>
      <c r="B111" s="1"/>
      <c r="C111" s="36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">
      <c r="A112" s="1"/>
      <c r="B112" s="1"/>
      <c r="C112" s="36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">
      <c r="A113" s="1"/>
      <c r="B113" s="1"/>
      <c r="C113" s="36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">
      <c r="A114" s="1"/>
      <c r="B114" s="1"/>
      <c r="C114" s="36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">
      <c r="A115" s="1"/>
      <c r="B115" s="1"/>
      <c r="C115" s="36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">
      <c r="A116" s="1"/>
      <c r="B116" s="1"/>
      <c r="C116" s="36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">
      <c r="A117" s="1"/>
      <c r="B117" s="1"/>
      <c r="C117" s="36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">
      <c r="A118" s="1"/>
      <c r="B118" s="1"/>
      <c r="C118" s="36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">
      <c r="A119" s="1"/>
      <c r="B119" s="1"/>
      <c r="C119" s="36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">
      <c r="A120" s="1"/>
      <c r="B120" s="1"/>
      <c r="C120" s="3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">
      <c r="A121" s="1"/>
      <c r="B121" s="1"/>
      <c r="C121" s="36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">
      <c r="A122" s="1"/>
      <c r="B122" s="1"/>
      <c r="C122" s="36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">
      <c r="A123" s="1"/>
      <c r="B123" s="1"/>
      <c r="C123" s="36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">
      <c r="A124" s="1"/>
      <c r="B124" s="1"/>
      <c r="C124" s="36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">
      <c r="A125" s="1"/>
      <c r="B125" s="1"/>
      <c r="C125" s="36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">
      <c r="A126" s="1"/>
      <c r="B126" s="1"/>
      <c r="C126" s="36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">
      <c r="A127" s="1"/>
      <c r="B127" s="1"/>
      <c r="C127" s="36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">
      <c r="A128" s="1"/>
      <c r="B128" s="1"/>
      <c r="C128" s="36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">
      <c r="A129" s="1"/>
      <c r="B129" s="1"/>
      <c r="C129" s="36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">
      <c r="A130" s="1"/>
      <c r="B130" s="1"/>
      <c r="C130" s="36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">
      <c r="A131" s="1"/>
      <c r="B131" s="1"/>
      <c r="C131" s="36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">
      <c r="A132" s="1"/>
      <c r="B132" s="1"/>
      <c r="C132" s="36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">
      <c r="A133" s="1"/>
      <c r="B133" s="1"/>
      <c r="C133" s="36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">
      <c r="A134" s="1"/>
      <c r="B134" s="1"/>
      <c r="C134" s="36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">
      <c r="A135" s="1"/>
      <c r="B135" s="1"/>
      <c r="C135" s="36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">
      <c r="A136" s="1"/>
      <c r="B136" s="1"/>
      <c r="C136" s="36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">
      <c r="A137" s="1"/>
      <c r="B137" s="1"/>
      <c r="C137" s="36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">
      <c r="A138" s="1"/>
      <c r="B138" s="1"/>
      <c r="C138" s="36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">
      <c r="A139" s="1"/>
      <c r="B139" s="1"/>
      <c r="C139" s="36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">
      <c r="A140" s="1"/>
      <c r="B140" s="1"/>
      <c r="C140" s="36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">
      <c r="A141" s="1"/>
      <c r="B141" s="1"/>
      <c r="C141" s="36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">
      <c r="A142" s="1"/>
      <c r="B142" s="1"/>
      <c r="C142" s="36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">
      <c r="A143" s="1"/>
      <c r="B143" s="1"/>
      <c r="C143" s="36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">
      <c r="A144" s="1"/>
      <c r="B144" s="1"/>
      <c r="C144" s="36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">
      <c r="A145" s="1"/>
      <c r="B145" s="1"/>
      <c r="C145" s="36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">
      <c r="A146" s="1"/>
      <c r="B146" s="1"/>
      <c r="C146" s="36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">
      <c r="A147" s="1"/>
      <c r="B147" s="1"/>
      <c r="C147" s="36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">
      <c r="A148" s="1"/>
      <c r="B148" s="1"/>
      <c r="C148" s="36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">
      <c r="A149" s="1"/>
      <c r="B149" s="1"/>
      <c r="C149" s="36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">
      <c r="A150" s="1"/>
      <c r="B150" s="1"/>
      <c r="C150" s="3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">
      <c r="A151" s="1"/>
      <c r="B151" s="1"/>
      <c r="C151" s="36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">
      <c r="A152" s="1"/>
      <c r="B152" s="1"/>
      <c r="C152" s="36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">
      <c r="A153" s="1"/>
      <c r="B153" s="1"/>
      <c r="C153" s="36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">
      <c r="A154" s="1"/>
      <c r="B154" s="1"/>
      <c r="C154" s="36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">
      <c r="A155" s="1"/>
      <c r="B155" s="1"/>
      <c r="C155" s="36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">
      <c r="A156" s="1"/>
      <c r="B156" s="1"/>
      <c r="C156" s="36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">
      <c r="A157" s="1"/>
      <c r="B157" s="1"/>
      <c r="C157" s="36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">
      <c r="A158" s="1"/>
      <c r="B158" s="1"/>
      <c r="C158" s="36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">
      <c r="A159" s="1"/>
      <c r="B159" s="1"/>
      <c r="C159" s="36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">
      <c r="A160" s="1"/>
      <c r="B160" s="1"/>
      <c r="C160" s="36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">
      <c r="A161" s="1"/>
      <c r="B161" s="1"/>
      <c r="C161" s="36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">
      <c r="A162" s="1"/>
      <c r="B162" s="1"/>
      <c r="C162" s="36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">
      <c r="A163" s="1"/>
      <c r="B163" s="1"/>
      <c r="C163" s="36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">
      <c r="A164" s="1"/>
      <c r="B164" s="1"/>
      <c r="C164" s="36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">
      <c r="A165" s="1"/>
      <c r="B165" s="1"/>
      <c r="C165" s="36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">
      <c r="A166" s="1"/>
      <c r="B166" s="1"/>
      <c r="C166" s="36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">
      <c r="A167" s="1"/>
      <c r="B167" s="1"/>
      <c r="C167" s="36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">
      <c r="A168" s="1"/>
      <c r="B168" s="1"/>
      <c r="C168" s="36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">
      <c r="A169" s="1"/>
      <c r="B169" s="1"/>
      <c r="C169" s="36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">
      <c r="A170" s="1"/>
      <c r="B170" s="1"/>
      <c r="C170" s="36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">
      <c r="A171" s="1"/>
      <c r="B171" s="1"/>
      <c r="C171" s="36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">
      <c r="A172" s="1"/>
      <c r="B172" s="1"/>
      <c r="C172" s="3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">
      <c r="A173" s="1"/>
      <c r="B173" s="1"/>
      <c r="C173" s="3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">
      <c r="A174" s="1"/>
      <c r="B174" s="1"/>
      <c r="C174" s="36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">
      <c r="A175" s="1"/>
      <c r="B175" s="1"/>
      <c r="C175" s="36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">
      <c r="A176" s="1"/>
      <c r="B176" s="1"/>
      <c r="C176" s="36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">
      <c r="A177" s="1"/>
      <c r="B177" s="1"/>
      <c r="C177" s="36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">
      <c r="A178" s="1"/>
      <c r="B178" s="1"/>
      <c r="C178" s="36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">
      <c r="A179" s="1"/>
      <c r="B179" s="1"/>
      <c r="C179" s="36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">
      <c r="A180" s="1"/>
      <c r="B180" s="1"/>
      <c r="C180" s="3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">
      <c r="A181" s="1"/>
      <c r="B181" s="1"/>
      <c r="C181" s="36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">
      <c r="A182" s="1"/>
      <c r="B182" s="1"/>
      <c r="C182" s="36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">
      <c r="A183" s="1"/>
      <c r="B183" s="1"/>
      <c r="C183" s="36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">
      <c r="A184" s="1"/>
      <c r="B184" s="1"/>
      <c r="C184" s="36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">
      <c r="A185" s="1"/>
      <c r="B185" s="1"/>
      <c r="C185" s="36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">
      <c r="A186" s="1"/>
      <c r="B186" s="1"/>
      <c r="C186" s="36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">
      <c r="A187" s="1"/>
      <c r="B187" s="1"/>
      <c r="C187" s="36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">
      <c r="A188" s="1"/>
      <c r="B188" s="1"/>
      <c r="C188" s="36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1"/>
      <c r="B189" s="1"/>
      <c r="C189" s="36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">
      <c r="A190" s="1"/>
      <c r="B190" s="1"/>
      <c r="C190" s="36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">
      <c r="A191" s="1"/>
      <c r="B191" s="1"/>
      <c r="C191" s="36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">
      <c r="A192" s="1"/>
      <c r="B192" s="1"/>
      <c r="C192" s="36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">
      <c r="A193" s="1"/>
      <c r="B193" s="1"/>
      <c r="C193" s="36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">
      <c r="A194" s="1"/>
      <c r="B194" s="1"/>
      <c r="C194" s="36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">
      <c r="A195" s="1"/>
      <c r="B195" s="1"/>
      <c r="C195" s="36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">
      <c r="A196" s="1"/>
      <c r="B196" s="1"/>
      <c r="C196" s="36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">
      <c r="A197" s="1"/>
      <c r="B197" s="1"/>
      <c r="C197" s="36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">
      <c r="A198" s="1"/>
      <c r="B198" s="1"/>
      <c r="C198" s="36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">
      <c r="A199" s="1"/>
      <c r="B199" s="1"/>
      <c r="C199" s="36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">
      <c r="A200" s="1"/>
      <c r="B200" s="1"/>
      <c r="C200" s="36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">
      <c r="A201" s="1"/>
      <c r="B201" s="1"/>
      <c r="C201" s="36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">
      <c r="A202" s="1"/>
      <c r="B202" s="1"/>
      <c r="C202" s="36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">
      <c r="A203" s="1"/>
      <c r="B203" s="1"/>
      <c r="C203" s="36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">
      <c r="A204" s="1"/>
      <c r="B204" s="1"/>
      <c r="C204" s="36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">
      <c r="A205" s="1"/>
      <c r="B205" s="1"/>
      <c r="C205" s="36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">
      <c r="A206" s="1"/>
      <c r="B206" s="1"/>
      <c r="C206" s="36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">
      <c r="A207" s="1"/>
      <c r="B207" s="1"/>
      <c r="C207" s="36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">
      <c r="A208" s="1"/>
      <c r="B208" s="1"/>
      <c r="C208" s="36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1"/>
      <c r="B209" s="1"/>
      <c r="C209" s="36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1"/>
      <c r="B210" s="1"/>
      <c r="C210" s="3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">
      <c r="A211" s="1"/>
      <c r="B211" s="1"/>
      <c r="C211" s="36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1"/>
      <c r="B212" s="1"/>
      <c r="C212" s="36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1"/>
      <c r="B213" s="1"/>
      <c r="C213" s="36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1"/>
      <c r="B214" s="1"/>
      <c r="C214" s="36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">
      <c r="A215" s="1"/>
      <c r="B215" s="1"/>
      <c r="C215" s="36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1"/>
      <c r="B216" s="1"/>
      <c r="C216" s="36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1"/>
      <c r="B217" s="1"/>
      <c r="C217" s="36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1"/>
      <c r="B218" s="1"/>
      <c r="C218" s="36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1"/>
      <c r="B219" s="1"/>
      <c r="C219" s="36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1"/>
      <c r="B220" s="1"/>
      <c r="C220" s="36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1"/>
      <c r="B221" s="1"/>
      <c r="C221" s="36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1"/>
      <c r="B222" s="1"/>
      <c r="C222" s="36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1"/>
      <c r="B223" s="1"/>
      <c r="C223" s="36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1"/>
      <c r="B224" s="1"/>
      <c r="C224" s="36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">
      <c r="A225" s="1"/>
      <c r="B225" s="1"/>
      <c r="C225" s="36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">
      <c r="A226" s="1"/>
      <c r="B226" s="1"/>
      <c r="C226" s="36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">
      <c r="A227" s="1"/>
      <c r="B227" s="1"/>
      <c r="C227" s="36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">
      <c r="A228" s="1"/>
      <c r="B228" s="1"/>
      <c r="C228" s="36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">
      <c r="A229" s="1"/>
      <c r="B229" s="1"/>
      <c r="C229" s="36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">
      <c r="A230" s="1"/>
      <c r="B230" s="1"/>
      <c r="C230" s="36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">
      <c r="A231" s="1"/>
      <c r="B231" s="1"/>
      <c r="C231" s="36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">
      <c r="A232" s="1"/>
      <c r="B232" s="1"/>
      <c r="C232" s="36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">
      <c r="A233" s="1"/>
      <c r="B233" s="1"/>
      <c r="C233" s="36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">
      <c r="A234" s="1"/>
      <c r="B234" s="1"/>
      <c r="C234" s="36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">
      <c r="A235" s="1"/>
      <c r="B235" s="1"/>
      <c r="C235" s="36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">
      <c r="A236" s="1"/>
      <c r="B236" s="1"/>
      <c r="C236" s="36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">
      <c r="A237" s="1"/>
      <c r="B237" s="1"/>
      <c r="C237" s="36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">
      <c r="A238" s="1"/>
      <c r="B238" s="1"/>
      <c r="C238" s="36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">
      <c r="A239" s="1"/>
      <c r="B239" s="1"/>
      <c r="C239" s="36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">
      <c r="A240" s="1"/>
      <c r="B240" s="1"/>
      <c r="C240" s="3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">
      <c r="A241" s="1"/>
      <c r="B241" s="1"/>
      <c r="C241" s="36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">
      <c r="A242" s="1"/>
      <c r="B242" s="1"/>
      <c r="C242" s="36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">
      <c r="A243" s="1"/>
      <c r="B243" s="1"/>
      <c r="C243" s="36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1"/>
      <c r="B244" s="1"/>
      <c r="C244" s="36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1"/>
      <c r="B245" s="1"/>
      <c r="C245" s="36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">
      <c r="A246" s="1"/>
      <c r="B246" s="1"/>
      <c r="C246" s="36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">
      <c r="A247" s="1"/>
      <c r="B247" s="1"/>
      <c r="C247" s="36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">
      <c r="A248" s="1"/>
      <c r="B248" s="1"/>
      <c r="C248" s="36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">
      <c r="A249" s="1"/>
      <c r="B249" s="1"/>
      <c r="C249" s="36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">
      <c r="A250" s="1"/>
      <c r="B250" s="1"/>
      <c r="C250" s="36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">
      <c r="A251" s="1"/>
      <c r="B251" s="1"/>
      <c r="C251" s="36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">
      <c r="A252" s="1"/>
      <c r="B252" s="1"/>
      <c r="C252" s="36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">
      <c r="A253" s="1"/>
      <c r="B253" s="1"/>
      <c r="C253" s="36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">
      <c r="A254" s="1"/>
      <c r="B254" s="1"/>
      <c r="C254" s="36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">
      <c r="A255" s="1"/>
      <c r="B255" s="1"/>
      <c r="C255" s="36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">
      <c r="A256" s="1"/>
      <c r="B256" s="1"/>
      <c r="C256" s="36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">
      <c r="A257" s="1"/>
      <c r="B257" s="1"/>
      <c r="C257" s="36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">
      <c r="A258" s="1"/>
      <c r="B258" s="1"/>
      <c r="C258" s="36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">
      <c r="A259" s="1"/>
      <c r="B259" s="1"/>
      <c r="C259" s="36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">
      <c r="A260" s="1"/>
      <c r="B260" s="1"/>
      <c r="C260" s="36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">
      <c r="A261" s="1"/>
      <c r="B261" s="1"/>
      <c r="C261" s="36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">
      <c r="A262" s="1"/>
      <c r="B262" s="1"/>
      <c r="C262" s="36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">
      <c r="A263" s="1"/>
      <c r="B263" s="1"/>
      <c r="C263" s="36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">
      <c r="A264" s="1"/>
      <c r="B264" s="1"/>
      <c r="C264" s="36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">
      <c r="A265" s="1"/>
      <c r="B265" s="1"/>
      <c r="C265" s="36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">
      <c r="A266" s="1"/>
      <c r="B266" s="1"/>
      <c r="C266" s="36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">
      <c r="A267" s="1"/>
      <c r="B267" s="1"/>
      <c r="C267" s="36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">
      <c r="A268" s="1"/>
      <c r="B268" s="1"/>
      <c r="C268" s="36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">
      <c r="A269" s="1"/>
      <c r="B269" s="1"/>
      <c r="C269" s="36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">
      <c r="A270" s="1"/>
      <c r="B270" s="1"/>
      <c r="C270" s="3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">
      <c r="A271" s="1"/>
      <c r="B271" s="1"/>
      <c r="C271" s="36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">
      <c r="A272" s="1"/>
      <c r="B272" s="1"/>
      <c r="C272" s="36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">
      <c r="A273" s="1"/>
      <c r="B273" s="1"/>
      <c r="C273" s="36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">
      <c r="A274" s="1"/>
      <c r="B274" s="1"/>
      <c r="C274" s="36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">
      <c r="A275" s="1"/>
      <c r="B275" s="1"/>
      <c r="C275" s="36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">
      <c r="A276" s="1"/>
      <c r="B276" s="1"/>
      <c r="C276" s="36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">
      <c r="A277" s="1"/>
      <c r="B277" s="1"/>
      <c r="C277" s="36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">
      <c r="A278" s="1"/>
      <c r="B278" s="1"/>
      <c r="C278" s="36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">
      <c r="A279" s="1"/>
      <c r="B279" s="1"/>
      <c r="C279" s="36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">
      <c r="A280" s="1"/>
      <c r="B280" s="1"/>
      <c r="C280" s="36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">
      <c r="A281" s="1"/>
      <c r="B281" s="1"/>
      <c r="C281" s="36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">
      <c r="A282" s="1"/>
      <c r="B282" s="1"/>
      <c r="C282" s="36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">
      <c r="A283" s="1"/>
      <c r="B283" s="1"/>
      <c r="C283" s="36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">
      <c r="A284" s="1"/>
      <c r="B284" s="1"/>
      <c r="C284" s="36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">
      <c r="A285" s="1"/>
      <c r="B285" s="1"/>
      <c r="C285" s="36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">
      <c r="A286" s="1"/>
      <c r="B286" s="1"/>
      <c r="C286" s="36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">
      <c r="A287" s="1"/>
      <c r="B287" s="1"/>
      <c r="C287" s="36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">
      <c r="A288" s="1"/>
      <c r="B288" s="1"/>
      <c r="C288" s="36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">
      <c r="A289" s="1"/>
      <c r="B289" s="1"/>
      <c r="C289" s="36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">
      <c r="A290" s="1"/>
      <c r="B290" s="1"/>
      <c r="C290" s="36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">
      <c r="A291" s="1"/>
      <c r="B291" s="1"/>
      <c r="C291" s="36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">
      <c r="A292" s="1"/>
      <c r="B292" s="1"/>
      <c r="C292" s="36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">
      <c r="A293" s="1"/>
      <c r="B293" s="1"/>
      <c r="C293" s="36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">
      <c r="A294" s="1"/>
      <c r="B294" s="1"/>
      <c r="C294" s="36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">
      <c r="A295" s="1"/>
      <c r="B295" s="1"/>
      <c r="C295" s="36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">
      <c r="A296" s="1"/>
      <c r="B296" s="1"/>
      <c r="C296" s="36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">
      <c r="A297" s="1"/>
      <c r="B297" s="1"/>
      <c r="C297" s="36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">
      <c r="A298" s="1"/>
      <c r="B298" s="1"/>
      <c r="C298" s="36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">
      <c r="A299" s="1"/>
      <c r="B299" s="1"/>
      <c r="C299" s="36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">
      <c r="A300" s="1"/>
      <c r="B300" s="1"/>
      <c r="C300" s="3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">
      <c r="A301" s="1"/>
      <c r="B301" s="1"/>
      <c r="C301" s="36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">
      <c r="A302" s="1"/>
      <c r="B302" s="1"/>
      <c r="C302" s="36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">
      <c r="A303" s="1"/>
      <c r="B303" s="1"/>
      <c r="C303" s="36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">
      <c r="A304" s="1"/>
      <c r="B304" s="1"/>
      <c r="C304" s="36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">
      <c r="A305" s="1"/>
      <c r="B305" s="1"/>
      <c r="C305" s="36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">
      <c r="A306" s="1"/>
      <c r="B306" s="1"/>
      <c r="C306" s="36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">
      <c r="A307" s="1"/>
      <c r="B307" s="1"/>
      <c r="C307" s="36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">
      <c r="A308" s="1"/>
      <c r="B308" s="1"/>
      <c r="C308" s="36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">
      <c r="A309" s="1"/>
      <c r="B309" s="1"/>
      <c r="C309" s="36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">
      <c r="A310" s="1"/>
      <c r="B310" s="1"/>
      <c r="C310" s="36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">
      <c r="A311" s="1"/>
      <c r="B311" s="1"/>
      <c r="C311" s="36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">
      <c r="A312" s="1"/>
      <c r="B312" s="1"/>
      <c r="C312" s="36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">
      <c r="A313" s="1"/>
      <c r="B313" s="1"/>
      <c r="C313" s="36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">
      <c r="A314" s="1"/>
      <c r="B314" s="1"/>
      <c r="C314" s="36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">
      <c r="A315" s="1"/>
      <c r="B315" s="1"/>
      <c r="C315" s="36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">
      <c r="A316" s="1"/>
      <c r="B316" s="1"/>
      <c r="C316" s="36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">
      <c r="A317" s="1"/>
      <c r="B317" s="1"/>
      <c r="C317" s="36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">
      <c r="A318" s="1"/>
      <c r="B318" s="1"/>
      <c r="C318" s="36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">
      <c r="A319" s="1"/>
      <c r="B319" s="1"/>
      <c r="C319" s="36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">
      <c r="A320" s="1"/>
      <c r="B320" s="1"/>
      <c r="C320" s="36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">
      <c r="A321" s="1"/>
      <c r="B321" s="1"/>
      <c r="C321" s="36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">
      <c r="A322" s="1"/>
      <c r="B322" s="1"/>
      <c r="C322" s="36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">
      <c r="A323" s="1"/>
      <c r="B323" s="1"/>
      <c r="C323" s="36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">
      <c r="A324" s="1"/>
      <c r="B324" s="1"/>
      <c r="C324" s="36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">
      <c r="A325" s="1"/>
      <c r="B325" s="1"/>
      <c r="C325" s="36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">
      <c r="A326" s="1"/>
      <c r="B326" s="1"/>
      <c r="C326" s="36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">
      <c r="A327" s="1"/>
      <c r="B327" s="1"/>
      <c r="C327" s="36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">
      <c r="A328" s="1"/>
      <c r="B328" s="1"/>
      <c r="C328" s="36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">
      <c r="A329" s="1"/>
      <c r="B329" s="1"/>
      <c r="C329" s="36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">
      <c r="A330" s="1"/>
      <c r="B330" s="1"/>
      <c r="C330" s="36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">
      <c r="A331" s="1"/>
      <c r="B331" s="1"/>
      <c r="C331" s="36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">
      <c r="A332" s="1"/>
      <c r="B332" s="1"/>
      <c r="C332" s="36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">
      <c r="A333" s="1"/>
      <c r="B333" s="1"/>
      <c r="C333" s="36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">
      <c r="A334" s="1"/>
      <c r="B334" s="1"/>
      <c r="C334" s="36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">
      <c r="A335" s="1"/>
      <c r="B335" s="1"/>
      <c r="C335" s="36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">
      <c r="A336" s="1"/>
      <c r="B336" s="1"/>
      <c r="C336" s="36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">
      <c r="A337" s="1"/>
      <c r="B337" s="1"/>
      <c r="C337" s="36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">
      <c r="A338" s="1"/>
      <c r="B338" s="1"/>
      <c r="C338" s="36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">
      <c r="A339" s="1"/>
      <c r="B339" s="1"/>
      <c r="C339" s="36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">
      <c r="A340" s="1"/>
      <c r="B340" s="1"/>
      <c r="C340" s="36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">
      <c r="A341" s="1"/>
      <c r="B341" s="1"/>
      <c r="C341" s="36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">
      <c r="A342" s="1"/>
      <c r="B342" s="1"/>
      <c r="C342" s="36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">
      <c r="A343" s="1"/>
      <c r="B343" s="1"/>
      <c r="C343" s="36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">
      <c r="A344" s="1"/>
      <c r="B344" s="1"/>
      <c r="C344" s="36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">
      <c r="A345" s="1"/>
      <c r="B345" s="1"/>
      <c r="C345" s="36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">
      <c r="A346" s="1"/>
      <c r="B346" s="1"/>
      <c r="C346" s="36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">
      <c r="A347" s="1"/>
      <c r="B347" s="1"/>
      <c r="C347" s="36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">
      <c r="A348" s="1"/>
      <c r="B348" s="1"/>
      <c r="C348" s="36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">
      <c r="A349" s="1"/>
      <c r="B349" s="1"/>
      <c r="C349" s="36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">
      <c r="A350" s="1"/>
      <c r="B350" s="1"/>
      <c r="C350" s="36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">
      <c r="A351" s="1"/>
      <c r="B351" s="1"/>
      <c r="C351" s="36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">
      <c r="A352" s="1"/>
      <c r="B352" s="1"/>
      <c r="C352" s="36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">
      <c r="A353" s="1"/>
      <c r="B353" s="1"/>
      <c r="C353" s="36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">
      <c r="A354" s="1"/>
      <c r="B354" s="1"/>
      <c r="C354" s="36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">
      <c r="A355" s="1"/>
      <c r="B355" s="1"/>
      <c r="C355" s="36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">
      <c r="A356" s="1"/>
      <c r="B356" s="1"/>
      <c r="C356" s="36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">
      <c r="A357" s="1"/>
      <c r="B357" s="1"/>
      <c r="C357" s="36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">
      <c r="A358" s="1"/>
      <c r="B358" s="1"/>
      <c r="C358" s="36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">
      <c r="A359" s="1"/>
      <c r="B359" s="1"/>
      <c r="C359" s="36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">
      <c r="A360" s="1"/>
      <c r="B360" s="1"/>
      <c r="C360" s="36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">
      <c r="A361" s="1"/>
      <c r="B361" s="1"/>
      <c r="C361" s="36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">
      <c r="A362" s="1"/>
      <c r="B362" s="1"/>
      <c r="C362" s="36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">
      <c r="A363" s="1"/>
      <c r="B363" s="1"/>
      <c r="C363" s="36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">
      <c r="A364" s="1"/>
      <c r="B364" s="1"/>
      <c r="C364" s="36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">
      <c r="A365" s="1"/>
      <c r="B365" s="1"/>
      <c r="C365" s="36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">
      <c r="A366" s="1"/>
      <c r="B366" s="1"/>
      <c r="C366" s="36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">
      <c r="A367" s="1"/>
      <c r="B367" s="1"/>
      <c r="C367" s="36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">
      <c r="A368" s="1"/>
      <c r="B368" s="1"/>
      <c r="C368" s="36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">
      <c r="A369" s="1"/>
      <c r="B369" s="1"/>
      <c r="C369" s="36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">
      <c r="A370" s="1"/>
      <c r="B370" s="1"/>
      <c r="C370" s="36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">
      <c r="A371" s="1"/>
      <c r="B371" s="1"/>
      <c r="C371" s="36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">
      <c r="A372" s="1"/>
      <c r="B372" s="1"/>
      <c r="C372" s="36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">
      <c r="A373" s="1"/>
      <c r="B373" s="1"/>
      <c r="C373" s="36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">
      <c r="A374" s="1"/>
      <c r="B374" s="1"/>
      <c r="C374" s="36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">
      <c r="A375" s="1"/>
      <c r="B375" s="1"/>
      <c r="C375" s="36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">
      <c r="A376" s="1"/>
      <c r="B376" s="1"/>
      <c r="C376" s="36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">
      <c r="A377" s="1"/>
      <c r="B377" s="1"/>
      <c r="C377" s="36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">
      <c r="A378" s="1"/>
      <c r="B378" s="1"/>
      <c r="C378" s="36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">
      <c r="A379" s="1"/>
      <c r="B379" s="1"/>
      <c r="C379" s="36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">
      <c r="A380" s="1"/>
      <c r="B380" s="1"/>
      <c r="C380" s="36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">
      <c r="A381" s="1"/>
      <c r="B381" s="1"/>
      <c r="C381" s="36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">
      <c r="A382" s="1"/>
      <c r="B382" s="1"/>
      <c r="C382" s="36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">
      <c r="A383" s="1"/>
      <c r="B383" s="1"/>
      <c r="C383" s="36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">
      <c r="A384" s="1"/>
      <c r="B384" s="1"/>
      <c r="C384" s="36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">
      <c r="A385" s="1"/>
      <c r="B385" s="1"/>
      <c r="C385" s="36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">
      <c r="A386" s="1"/>
      <c r="B386" s="1"/>
      <c r="C386" s="36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">
      <c r="A387" s="1"/>
      <c r="B387" s="1"/>
      <c r="C387" s="36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">
      <c r="A388" s="1"/>
      <c r="B388" s="1"/>
      <c r="C388" s="36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">
      <c r="A389" s="1"/>
      <c r="B389" s="1"/>
      <c r="C389" s="36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">
      <c r="A390" s="1"/>
      <c r="B390" s="1"/>
      <c r="C390" s="36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">
      <c r="A391" s="1"/>
      <c r="B391" s="1"/>
      <c r="C391" s="36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">
      <c r="A392" s="1"/>
      <c r="B392" s="1"/>
      <c r="C392" s="36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">
      <c r="A393" s="1"/>
      <c r="B393" s="1"/>
      <c r="C393" s="36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">
      <c r="A394" s="1"/>
      <c r="B394" s="1"/>
      <c r="C394" s="36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">
      <c r="A395" s="1"/>
      <c r="B395" s="1"/>
      <c r="C395" s="36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">
      <c r="A396" s="1"/>
      <c r="B396" s="1"/>
      <c r="C396" s="36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">
      <c r="A397" s="1"/>
      <c r="B397" s="1"/>
      <c r="C397" s="36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">
      <c r="A398" s="1"/>
      <c r="B398" s="1"/>
      <c r="C398" s="36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">
      <c r="A399" s="1"/>
      <c r="B399" s="1"/>
      <c r="C399" s="36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">
      <c r="A400" s="1"/>
      <c r="B400" s="1"/>
      <c r="C400" s="36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">
      <c r="A401" s="1"/>
      <c r="B401" s="1"/>
      <c r="C401" s="36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">
      <c r="A402" s="1"/>
      <c r="B402" s="1"/>
      <c r="C402" s="36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">
      <c r="A403" s="1"/>
      <c r="B403" s="1"/>
      <c r="C403" s="36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">
      <c r="A404" s="1"/>
      <c r="B404" s="1"/>
      <c r="C404" s="36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">
      <c r="A405" s="1"/>
      <c r="B405" s="1"/>
      <c r="C405" s="36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">
      <c r="A406" s="1"/>
      <c r="B406" s="1"/>
      <c r="C406" s="36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">
      <c r="A407" s="1"/>
      <c r="B407" s="1"/>
      <c r="C407" s="36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">
      <c r="A408" s="1"/>
      <c r="B408" s="1"/>
      <c r="C408" s="36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">
      <c r="A409" s="1"/>
      <c r="B409" s="1"/>
      <c r="C409" s="36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">
      <c r="A410" s="1"/>
      <c r="B410" s="1"/>
      <c r="C410" s="36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">
      <c r="A411" s="1"/>
      <c r="B411" s="1"/>
      <c r="C411" s="36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">
      <c r="A412" s="1"/>
      <c r="B412" s="1"/>
      <c r="C412" s="36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">
      <c r="A413" s="1"/>
      <c r="B413" s="1"/>
      <c r="C413" s="36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">
      <c r="A414" s="1"/>
      <c r="B414" s="1"/>
      <c r="C414" s="36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">
      <c r="A415" s="1"/>
      <c r="B415" s="1"/>
      <c r="C415" s="36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">
      <c r="A416" s="1"/>
      <c r="B416" s="1"/>
      <c r="C416" s="36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">
      <c r="A417" s="1"/>
      <c r="B417" s="1"/>
      <c r="C417" s="36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">
      <c r="A418" s="1"/>
      <c r="B418" s="1"/>
      <c r="C418" s="36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">
      <c r="A419" s="1"/>
      <c r="B419" s="1"/>
      <c r="C419" s="36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">
      <c r="A420" s="1"/>
      <c r="B420" s="1"/>
      <c r="C420" s="36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">
      <c r="A421" s="1"/>
      <c r="B421" s="1"/>
      <c r="C421" s="36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">
      <c r="A422" s="1"/>
      <c r="B422" s="1"/>
      <c r="C422" s="36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">
      <c r="A423" s="1"/>
      <c r="B423" s="1"/>
      <c r="C423" s="36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">
      <c r="A424" s="1"/>
      <c r="B424" s="1"/>
      <c r="C424" s="36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">
      <c r="A425" s="1"/>
      <c r="B425" s="1"/>
      <c r="C425" s="36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">
      <c r="A426" s="1"/>
      <c r="B426" s="1"/>
      <c r="C426" s="36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">
      <c r="A427" s="1"/>
      <c r="B427" s="1"/>
      <c r="C427" s="36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">
      <c r="A428" s="1"/>
      <c r="B428" s="1"/>
      <c r="C428" s="36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">
      <c r="A429" s="1"/>
      <c r="B429" s="1"/>
      <c r="C429" s="36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">
      <c r="A430" s="1"/>
      <c r="B430" s="1"/>
      <c r="C430" s="36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">
      <c r="A431" s="1"/>
      <c r="B431" s="1"/>
      <c r="C431" s="36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">
      <c r="A432" s="1"/>
      <c r="B432" s="1"/>
      <c r="C432" s="36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">
      <c r="A433" s="1"/>
      <c r="B433" s="1"/>
      <c r="C433" s="36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">
      <c r="A434" s="1"/>
      <c r="B434" s="1"/>
      <c r="C434" s="36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">
      <c r="A435" s="1"/>
      <c r="B435" s="1"/>
      <c r="C435" s="36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">
      <c r="A436" s="1"/>
      <c r="B436" s="1"/>
      <c r="C436" s="36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">
      <c r="A437" s="1"/>
      <c r="B437" s="1"/>
      <c r="C437" s="36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">
      <c r="A438" s="1"/>
      <c r="B438" s="1"/>
      <c r="C438" s="36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">
      <c r="A439" s="1"/>
      <c r="B439" s="1"/>
      <c r="C439" s="36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">
      <c r="A440" s="1"/>
      <c r="B440" s="1"/>
      <c r="C440" s="36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">
      <c r="A441" s="1"/>
      <c r="B441" s="1"/>
      <c r="C441" s="36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">
      <c r="A442" s="1"/>
      <c r="B442" s="1"/>
      <c r="C442" s="36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">
      <c r="A443" s="1"/>
      <c r="B443" s="1"/>
      <c r="C443" s="36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">
      <c r="A444" s="1"/>
      <c r="B444" s="1"/>
      <c r="C444" s="36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">
      <c r="A445" s="1"/>
      <c r="B445" s="1"/>
      <c r="C445" s="36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">
      <c r="A446" s="1"/>
      <c r="B446" s="1"/>
      <c r="C446" s="36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">
      <c r="A447" s="1"/>
      <c r="B447" s="1"/>
      <c r="C447" s="36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">
      <c r="A448" s="1"/>
      <c r="B448" s="1"/>
      <c r="C448" s="36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">
      <c r="A449" s="1"/>
      <c r="B449" s="1"/>
      <c r="C449" s="36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">
      <c r="A450" s="1"/>
      <c r="B450" s="1"/>
      <c r="C450" s="36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">
      <c r="A451" s="1"/>
      <c r="B451" s="1"/>
      <c r="C451" s="36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">
      <c r="A452" s="1"/>
      <c r="B452" s="1"/>
      <c r="C452" s="36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">
      <c r="A453" s="1"/>
      <c r="B453" s="1"/>
      <c r="C453" s="36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">
      <c r="A454" s="1"/>
      <c r="B454" s="1"/>
      <c r="C454" s="36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">
      <c r="A455" s="1"/>
      <c r="B455" s="1"/>
      <c r="C455" s="36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">
      <c r="A456" s="1"/>
      <c r="B456" s="1"/>
      <c r="C456" s="36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">
      <c r="A457" s="1"/>
      <c r="B457" s="1"/>
      <c r="C457" s="36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">
      <c r="A458" s="1"/>
      <c r="B458" s="1"/>
      <c r="C458" s="36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">
      <c r="A459" s="1"/>
      <c r="B459" s="1"/>
      <c r="C459" s="36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">
      <c r="A460" s="1"/>
      <c r="B460" s="1"/>
      <c r="C460" s="36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">
      <c r="A461" s="1"/>
      <c r="B461" s="1"/>
      <c r="C461" s="36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">
      <c r="A462" s="1"/>
      <c r="B462" s="1"/>
      <c r="C462" s="36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">
      <c r="A463" s="1"/>
      <c r="B463" s="1"/>
      <c r="C463" s="36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">
      <c r="A464" s="1"/>
      <c r="B464" s="1"/>
      <c r="C464" s="36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">
      <c r="A465" s="1"/>
      <c r="B465" s="1"/>
      <c r="C465" s="36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">
      <c r="A466" s="1"/>
      <c r="B466" s="1"/>
      <c r="C466" s="36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">
      <c r="A467" s="1"/>
      <c r="B467" s="1"/>
      <c r="C467" s="36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">
      <c r="A468" s="1"/>
      <c r="B468" s="1"/>
      <c r="C468" s="36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">
      <c r="A469" s="1"/>
      <c r="B469" s="1"/>
      <c r="C469" s="36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">
      <c r="A470" s="1"/>
      <c r="B470" s="1"/>
      <c r="C470" s="36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">
      <c r="A471" s="1"/>
      <c r="B471" s="1"/>
      <c r="C471" s="36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">
      <c r="A472" s="1"/>
      <c r="B472" s="1"/>
      <c r="C472" s="36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">
      <c r="A473" s="1"/>
      <c r="B473" s="1"/>
      <c r="C473" s="36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">
      <c r="A474" s="1"/>
      <c r="B474" s="1"/>
      <c r="C474" s="36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">
      <c r="A475" s="1"/>
      <c r="B475" s="1"/>
      <c r="C475" s="36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">
      <c r="A476" s="1"/>
      <c r="B476" s="1"/>
      <c r="C476" s="36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">
      <c r="A477" s="1"/>
      <c r="B477" s="1"/>
      <c r="C477" s="36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">
      <c r="A478" s="1"/>
      <c r="B478" s="1"/>
      <c r="C478" s="36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">
      <c r="A479" s="1"/>
      <c r="B479" s="1"/>
      <c r="C479" s="36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">
      <c r="A480" s="1"/>
      <c r="B480" s="1"/>
      <c r="C480" s="36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">
      <c r="A481" s="1"/>
      <c r="B481" s="1"/>
      <c r="C481" s="36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">
      <c r="A482" s="1"/>
      <c r="B482" s="1"/>
      <c r="C482" s="36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">
      <c r="A483" s="1"/>
      <c r="B483" s="1"/>
      <c r="C483" s="36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">
      <c r="A484" s="1"/>
      <c r="B484" s="1"/>
      <c r="C484" s="36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">
      <c r="A485" s="1"/>
      <c r="B485" s="1"/>
      <c r="C485" s="36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">
      <c r="A486" s="1"/>
      <c r="B486" s="1"/>
      <c r="C486" s="36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">
      <c r="A487" s="1"/>
      <c r="B487" s="1"/>
      <c r="C487" s="36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">
      <c r="A488" s="1"/>
      <c r="B488" s="1"/>
      <c r="C488" s="36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">
      <c r="A489" s="1"/>
      <c r="B489" s="1"/>
      <c r="C489" s="36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">
      <c r="A490" s="1"/>
      <c r="B490" s="1"/>
      <c r="C490" s="36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">
      <c r="A491" s="1"/>
      <c r="B491" s="1"/>
      <c r="C491" s="36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">
      <c r="A492" s="1"/>
      <c r="B492" s="1"/>
      <c r="C492" s="36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">
      <c r="A493" s="1"/>
      <c r="B493" s="1"/>
      <c r="C493" s="36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">
      <c r="A494" s="1"/>
      <c r="B494" s="1"/>
      <c r="C494" s="36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">
      <c r="A495" s="1"/>
      <c r="B495" s="1"/>
      <c r="C495" s="36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">
      <c r="A496" s="1"/>
      <c r="B496" s="1"/>
      <c r="C496" s="36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">
      <c r="A497" s="1"/>
      <c r="B497" s="1"/>
      <c r="C497" s="36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">
      <c r="A498" s="1"/>
      <c r="B498" s="1"/>
      <c r="C498" s="36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">
      <c r="A499" s="1"/>
      <c r="B499" s="1"/>
      <c r="C499" s="36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">
      <c r="A500" s="1"/>
      <c r="B500" s="1"/>
      <c r="C500" s="36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">
      <c r="A501" s="1"/>
      <c r="B501" s="1"/>
      <c r="C501" s="36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">
      <c r="A502" s="1"/>
      <c r="B502" s="1"/>
      <c r="C502" s="36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">
      <c r="A503" s="1"/>
      <c r="B503" s="1"/>
      <c r="C503" s="36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">
      <c r="A504" s="1"/>
      <c r="B504" s="1"/>
      <c r="C504" s="36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">
      <c r="A505" s="1"/>
      <c r="B505" s="1"/>
      <c r="C505" s="36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">
      <c r="A506" s="1"/>
      <c r="B506" s="1"/>
      <c r="C506" s="36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">
      <c r="A507" s="1"/>
      <c r="B507" s="1"/>
      <c r="C507" s="36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">
      <c r="A508" s="1"/>
      <c r="B508" s="1"/>
      <c r="C508" s="36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">
      <c r="A509" s="1"/>
      <c r="B509" s="1"/>
      <c r="C509" s="36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">
      <c r="A510" s="1"/>
      <c r="B510" s="1"/>
      <c r="C510" s="36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">
      <c r="A511" s="1"/>
      <c r="B511" s="1"/>
      <c r="C511" s="36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">
      <c r="A512" s="1"/>
      <c r="B512" s="1"/>
      <c r="C512" s="36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">
      <c r="A513" s="1"/>
      <c r="B513" s="1"/>
      <c r="C513" s="36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">
      <c r="A514" s="1"/>
      <c r="B514" s="1"/>
      <c r="C514" s="36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">
      <c r="A515" s="1"/>
      <c r="B515" s="1"/>
      <c r="C515" s="36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">
      <c r="A516" s="1"/>
      <c r="B516" s="1"/>
      <c r="C516" s="36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">
      <c r="A517" s="1"/>
      <c r="B517" s="1"/>
      <c r="C517" s="36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">
      <c r="A518" s="1"/>
      <c r="B518" s="1"/>
      <c r="C518" s="36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">
      <c r="A519" s="1"/>
      <c r="B519" s="1"/>
      <c r="C519" s="36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">
      <c r="A520" s="1"/>
      <c r="B520" s="1"/>
      <c r="C520" s="36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">
      <c r="A521" s="1"/>
      <c r="B521" s="1"/>
      <c r="C521" s="36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">
      <c r="A522" s="1"/>
      <c r="B522" s="1"/>
      <c r="C522" s="36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">
      <c r="A523" s="1"/>
      <c r="B523" s="1"/>
      <c r="C523" s="36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">
      <c r="A524" s="1"/>
      <c r="B524" s="1"/>
      <c r="C524" s="36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">
      <c r="A525" s="1"/>
      <c r="B525" s="1"/>
      <c r="C525" s="36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">
      <c r="A526" s="1"/>
      <c r="B526" s="1"/>
      <c r="C526" s="36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">
      <c r="A527" s="1"/>
      <c r="B527" s="1"/>
      <c r="C527" s="36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">
      <c r="A528" s="1"/>
      <c r="B528" s="1"/>
      <c r="C528" s="36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">
      <c r="A529" s="1"/>
      <c r="B529" s="1"/>
      <c r="C529" s="36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">
      <c r="A530" s="1"/>
      <c r="B530" s="1"/>
      <c r="C530" s="36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">
      <c r="A531" s="1"/>
      <c r="B531" s="1"/>
      <c r="C531" s="36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">
      <c r="A532" s="1"/>
      <c r="B532" s="1"/>
      <c r="C532" s="36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">
      <c r="A533" s="1"/>
      <c r="B533" s="1"/>
      <c r="C533" s="36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">
      <c r="A534" s="1"/>
      <c r="B534" s="1"/>
      <c r="C534" s="36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">
      <c r="A535" s="1"/>
      <c r="B535" s="1"/>
      <c r="C535" s="36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">
      <c r="A536" s="1"/>
      <c r="B536" s="1"/>
      <c r="C536" s="36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">
      <c r="A537" s="1"/>
      <c r="B537" s="1"/>
      <c r="C537" s="36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">
      <c r="A538" s="1"/>
      <c r="B538" s="1"/>
      <c r="C538" s="36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">
      <c r="A539" s="1"/>
      <c r="B539" s="1"/>
      <c r="C539" s="36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">
      <c r="A540" s="1"/>
      <c r="B540" s="1"/>
      <c r="C540" s="36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">
      <c r="A541" s="1"/>
      <c r="B541" s="1"/>
      <c r="C541" s="36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">
      <c r="A542" s="1"/>
      <c r="B542" s="1"/>
      <c r="C542" s="36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">
      <c r="A543" s="1"/>
      <c r="B543" s="1"/>
      <c r="C543" s="36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">
      <c r="A544" s="1"/>
      <c r="B544" s="1"/>
      <c r="C544" s="36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">
      <c r="A545" s="1"/>
      <c r="B545" s="1"/>
      <c r="C545" s="36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">
      <c r="A546" s="1"/>
      <c r="B546" s="1"/>
      <c r="C546" s="36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">
      <c r="A547" s="1"/>
      <c r="B547" s="1"/>
      <c r="C547" s="36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">
      <c r="A548" s="1"/>
      <c r="B548" s="1"/>
      <c r="C548" s="36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">
      <c r="A549" s="1"/>
      <c r="B549" s="1"/>
      <c r="C549" s="36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">
      <c r="A550" s="1"/>
      <c r="B550" s="1"/>
      <c r="C550" s="36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">
      <c r="A551" s="1"/>
      <c r="B551" s="1"/>
      <c r="C551" s="36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">
      <c r="A552" s="1"/>
      <c r="B552" s="1"/>
      <c r="C552" s="36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">
      <c r="A553" s="1"/>
      <c r="B553" s="1"/>
      <c r="C553" s="36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">
      <c r="A554" s="1"/>
      <c r="B554" s="1"/>
      <c r="C554" s="36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">
      <c r="A555" s="1"/>
      <c r="B555" s="1"/>
      <c r="C555" s="36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">
      <c r="A556" s="1"/>
      <c r="B556" s="1"/>
      <c r="C556" s="36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">
      <c r="A557" s="1"/>
      <c r="B557" s="1"/>
      <c r="C557" s="36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">
      <c r="A558" s="1"/>
      <c r="B558" s="1"/>
      <c r="C558" s="36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">
      <c r="A559" s="1"/>
      <c r="B559" s="1"/>
      <c r="C559" s="36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">
      <c r="A560" s="1"/>
      <c r="B560" s="1"/>
      <c r="C560" s="36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">
      <c r="A561" s="1"/>
      <c r="B561" s="1"/>
      <c r="C561" s="36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">
      <c r="A562" s="1"/>
      <c r="B562" s="1"/>
      <c r="C562" s="36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">
      <c r="A563" s="1"/>
      <c r="B563" s="1"/>
      <c r="C563" s="36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">
      <c r="A564" s="1"/>
      <c r="B564" s="1"/>
      <c r="C564" s="36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">
      <c r="A565" s="1"/>
      <c r="B565" s="1"/>
      <c r="C565" s="36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">
      <c r="A566" s="1"/>
      <c r="B566" s="1"/>
      <c r="C566" s="36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">
      <c r="A567" s="1"/>
      <c r="B567" s="1"/>
      <c r="C567" s="36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">
      <c r="A568" s="1"/>
      <c r="B568" s="1"/>
      <c r="C568" s="36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">
      <c r="A569" s="1"/>
      <c r="B569" s="1"/>
      <c r="C569" s="36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">
      <c r="A570" s="1"/>
      <c r="B570" s="1"/>
      <c r="C570" s="36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">
      <c r="A571" s="1"/>
      <c r="B571" s="1"/>
      <c r="C571" s="36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">
      <c r="A572" s="1"/>
      <c r="B572" s="1"/>
      <c r="C572" s="36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">
      <c r="A573" s="1"/>
      <c r="B573" s="1"/>
      <c r="C573" s="36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">
      <c r="A574" s="1"/>
      <c r="B574" s="1"/>
      <c r="C574" s="36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">
      <c r="A575" s="1"/>
      <c r="B575" s="1"/>
      <c r="C575" s="36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">
      <c r="A576" s="1"/>
      <c r="B576" s="1"/>
      <c r="C576" s="36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">
      <c r="A577" s="1"/>
      <c r="B577" s="1"/>
      <c r="C577" s="36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">
      <c r="A578" s="1"/>
      <c r="B578" s="1"/>
      <c r="C578" s="36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">
      <c r="A579" s="1"/>
      <c r="B579" s="1"/>
      <c r="C579" s="36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">
      <c r="A580" s="1"/>
      <c r="B580" s="1"/>
      <c r="C580" s="36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">
      <c r="A581" s="1"/>
      <c r="B581" s="1"/>
      <c r="C581" s="36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">
      <c r="A582" s="1"/>
      <c r="B582" s="1"/>
      <c r="C582" s="36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">
      <c r="A583" s="1"/>
      <c r="B583" s="1"/>
      <c r="C583" s="36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">
      <c r="A584" s="1"/>
      <c r="B584" s="1"/>
      <c r="C584" s="36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">
      <c r="A585" s="1"/>
      <c r="B585" s="1"/>
      <c r="C585" s="36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">
      <c r="A586" s="1"/>
      <c r="B586" s="1"/>
      <c r="C586" s="36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">
      <c r="A587" s="1"/>
      <c r="B587" s="1"/>
      <c r="C587" s="36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">
      <c r="A588" s="1"/>
      <c r="B588" s="1"/>
      <c r="C588" s="36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">
      <c r="A589" s="1"/>
      <c r="B589" s="1"/>
      <c r="C589" s="36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">
      <c r="A590" s="1"/>
      <c r="B590" s="1"/>
      <c r="C590" s="36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">
      <c r="A591" s="1"/>
      <c r="B591" s="1"/>
      <c r="C591" s="36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">
      <c r="A592" s="1"/>
      <c r="B592" s="1"/>
      <c r="C592" s="36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">
      <c r="A593" s="1"/>
      <c r="B593" s="1"/>
      <c r="C593" s="36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">
      <c r="A594" s="1"/>
      <c r="B594" s="1"/>
      <c r="C594" s="36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">
      <c r="A595" s="1"/>
      <c r="B595" s="1"/>
      <c r="C595" s="36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">
      <c r="A596" s="1"/>
      <c r="B596" s="1"/>
      <c r="C596" s="36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">
      <c r="A597" s="1"/>
      <c r="B597" s="1"/>
      <c r="C597" s="36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">
      <c r="A598" s="1"/>
      <c r="B598" s="1"/>
      <c r="C598" s="36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">
      <c r="A599" s="1"/>
      <c r="B599" s="1"/>
      <c r="C599" s="36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">
      <c r="A600" s="1"/>
      <c r="B600" s="1"/>
      <c r="C600" s="36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">
      <c r="A601" s="1"/>
      <c r="B601" s="1"/>
      <c r="C601" s="36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">
      <c r="A602" s="1"/>
      <c r="B602" s="1"/>
      <c r="C602" s="36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">
      <c r="A603" s="1"/>
      <c r="B603" s="1"/>
      <c r="C603" s="36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">
      <c r="A604" s="1"/>
      <c r="B604" s="1"/>
      <c r="C604" s="36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">
      <c r="A605" s="1"/>
      <c r="B605" s="1"/>
      <c r="C605" s="36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">
      <c r="A606" s="1"/>
      <c r="B606" s="1"/>
      <c r="C606" s="36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">
      <c r="A607" s="1"/>
      <c r="B607" s="1"/>
      <c r="C607" s="36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">
      <c r="A608" s="1"/>
      <c r="B608" s="1"/>
      <c r="C608" s="36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">
      <c r="A609" s="1"/>
      <c r="B609" s="1"/>
      <c r="C609" s="36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">
      <c r="A610" s="1"/>
      <c r="B610" s="1"/>
      <c r="C610" s="36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">
      <c r="A611" s="1"/>
      <c r="B611" s="1"/>
      <c r="C611" s="36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">
      <c r="A612" s="1"/>
      <c r="B612" s="1"/>
      <c r="C612" s="36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">
      <c r="A613" s="1"/>
      <c r="B613" s="1"/>
      <c r="C613" s="36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">
      <c r="A614" s="1"/>
      <c r="B614" s="1"/>
      <c r="C614" s="36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">
      <c r="A615" s="1"/>
      <c r="B615" s="1"/>
      <c r="C615" s="36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">
      <c r="A616" s="1"/>
      <c r="B616" s="1"/>
      <c r="C616" s="36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">
      <c r="A617" s="1"/>
      <c r="B617" s="1"/>
      <c r="C617" s="36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">
      <c r="A618" s="1"/>
      <c r="B618" s="1"/>
      <c r="C618" s="36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">
      <c r="A619" s="1"/>
      <c r="B619" s="1"/>
      <c r="C619" s="36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">
      <c r="A620" s="1"/>
      <c r="B620" s="1"/>
      <c r="C620" s="36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">
      <c r="A621" s="1"/>
      <c r="B621" s="1"/>
      <c r="C621" s="36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">
      <c r="A622" s="1"/>
      <c r="B622" s="1"/>
      <c r="C622" s="36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">
      <c r="A623" s="1"/>
      <c r="B623" s="1"/>
      <c r="C623" s="36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">
      <c r="A624" s="1"/>
      <c r="B624" s="1"/>
      <c r="C624" s="36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">
      <c r="A625" s="1"/>
      <c r="B625" s="1"/>
      <c r="C625" s="36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">
      <c r="A626" s="1"/>
      <c r="B626" s="1"/>
      <c r="C626" s="36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">
      <c r="A627" s="1"/>
      <c r="B627" s="1"/>
      <c r="C627" s="36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">
      <c r="A628" s="1"/>
      <c r="B628" s="1"/>
      <c r="C628" s="36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">
      <c r="A629" s="1"/>
      <c r="B629" s="1"/>
      <c r="C629" s="36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">
      <c r="A630" s="1"/>
      <c r="B630" s="1"/>
      <c r="C630" s="36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">
      <c r="A631" s="1"/>
      <c r="B631" s="1"/>
      <c r="C631" s="36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">
      <c r="A632" s="1"/>
      <c r="B632" s="1"/>
      <c r="C632" s="36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">
      <c r="A633" s="1"/>
      <c r="B633" s="1"/>
      <c r="C633" s="36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">
      <c r="A634" s="1"/>
      <c r="B634" s="1"/>
      <c r="C634" s="36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">
      <c r="A635" s="1"/>
      <c r="B635" s="1"/>
      <c r="C635" s="36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">
      <c r="A636" s="1"/>
      <c r="B636" s="1"/>
      <c r="C636" s="36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">
      <c r="A637" s="1"/>
      <c r="B637" s="1"/>
      <c r="C637" s="36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">
      <c r="A638" s="1"/>
      <c r="B638" s="1"/>
      <c r="C638" s="36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">
      <c r="A639" s="1"/>
      <c r="B639" s="1"/>
      <c r="C639" s="36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">
      <c r="A640" s="1"/>
      <c r="B640" s="1"/>
      <c r="C640" s="36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">
      <c r="A641" s="1"/>
      <c r="B641" s="1"/>
      <c r="C641" s="36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">
      <c r="A642" s="1"/>
      <c r="B642" s="1"/>
      <c r="C642" s="36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">
      <c r="A643" s="1"/>
      <c r="B643" s="1"/>
      <c r="C643" s="36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">
      <c r="A644" s="1"/>
      <c r="B644" s="1"/>
      <c r="C644" s="36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">
      <c r="A645" s="1"/>
      <c r="B645" s="1"/>
      <c r="C645" s="36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">
      <c r="A646" s="1"/>
      <c r="B646" s="1"/>
      <c r="C646" s="36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">
      <c r="A647" s="1"/>
      <c r="B647" s="1"/>
      <c r="C647" s="36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">
      <c r="A648" s="1"/>
      <c r="B648" s="1"/>
      <c r="C648" s="36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">
      <c r="A649" s="1"/>
      <c r="B649" s="1"/>
      <c r="C649" s="36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">
      <c r="A650" s="1"/>
      <c r="B650" s="1"/>
      <c r="C650" s="36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">
      <c r="A651" s="1"/>
      <c r="B651" s="1"/>
      <c r="C651" s="36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">
      <c r="A652" s="1"/>
      <c r="B652" s="1"/>
      <c r="C652" s="36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">
      <c r="A653" s="1"/>
      <c r="B653" s="1"/>
      <c r="C653" s="36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">
      <c r="A654" s="1"/>
      <c r="B654" s="1"/>
      <c r="C654" s="36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">
      <c r="A655" s="1"/>
      <c r="B655" s="1"/>
      <c r="C655" s="36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">
      <c r="A656" s="1"/>
      <c r="B656" s="1"/>
      <c r="C656" s="36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">
      <c r="A657" s="1"/>
      <c r="B657" s="1"/>
      <c r="C657" s="36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">
      <c r="A658" s="1"/>
      <c r="B658" s="1"/>
      <c r="C658" s="36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">
      <c r="A659" s="1"/>
      <c r="B659" s="1"/>
      <c r="C659" s="36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">
      <c r="A660" s="1"/>
      <c r="B660" s="1"/>
      <c r="C660" s="36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">
      <c r="A661" s="1"/>
      <c r="B661" s="1"/>
      <c r="C661" s="36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">
      <c r="A662" s="1"/>
      <c r="B662" s="1"/>
      <c r="C662" s="36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">
      <c r="A663" s="1"/>
      <c r="B663" s="1"/>
      <c r="C663" s="36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">
      <c r="A664" s="1"/>
      <c r="B664" s="1"/>
      <c r="C664" s="36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">
      <c r="A665" s="1"/>
      <c r="B665" s="1"/>
      <c r="C665" s="36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">
      <c r="A666" s="1"/>
      <c r="B666" s="1"/>
      <c r="C666" s="36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">
      <c r="A667" s="1"/>
      <c r="B667" s="1"/>
      <c r="C667" s="36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">
      <c r="A668" s="1"/>
      <c r="B668" s="1"/>
      <c r="C668" s="36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">
      <c r="A669" s="1"/>
      <c r="B669" s="1"/>
      <c r="C669" s="36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">
      <c r="A670" s="1"/>
      <c r="B670" s="1"/>
      <c r="C670" s="36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">
      <c r="A671" s="1"/>
      <c r="B671" s="1"/>
      <c r="C671" s="36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">
      <c r="A672" s="1"/>
      <c r="B672" s="1"/>
      <c r="C672" s="36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">
      <c r="A673" s="1"/>
      <c r="B673" s="1"/>
      <c r="C673" s="36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">
      <c r="A674" s="1"/>
      <c r="B674" s="1"/>
      <c r="C674" s="36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">
      <c r="A675" s="1"/>
      <c r="B675" s="1"/>
      <c r="C675" s="36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">
      <c r="A676" s="1"/>
      <c r="B676" s="1"/>
      <c r="C676" s="36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">
      <c r="A677" s="1"/>
      <c r="B677" s="1"/>
      <c r="C677" s="36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">
      <c r="A678" s="1"/>
      <c r="B678" s="1"/>
      <c r="C678" s="36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">
      <c r="A679" s="1"/>
      <c r="B679" s="1"/>
      <c r="C679" s="36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">
      <c r="A680" s="1"/>
      <c r="B680" s="1"/>
      <c r="C680" s="36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">
      <c r="A681" s="1"/>
      <c r="B681" s="1"/>
      <c r="C681" s="36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">
      <c r="A682" s="1"/>
      <c r="B682" s="1"/>
      <c r="C682" s="36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">
      <c r="A683" s="1"/>
      <c r="B683" s="1"/>
      <c r="C683" s="36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">
      <c r="A684" s="1"/>
      <c r="B684" s="1"/>
      <c r="C684" s="36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">
      <c r="A685" s="1"/>
      <c r="B685" s="1"/>
      <c r="C685" s="36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">
      <c r="A686" s="1"/>
      <c r="B686" s="1"/>
      <c r="C686" s="36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">
      <c r="A687" s="1"/>
      <c r="B687" s="1"/>
      <c r="C687" s="36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">
      <c r="A688" s="1"/>
      <c r="B688" s="1"/>
      <c r="C688" s="36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">
      <c r="A689" s="1"/>
      <c r="B689" s="1"/>
      <c r="C689" s="36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">
      <c r="A690" s="1"/>
      <c r="B690" s="1"/>
      <c r="C690" s="36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">
      <c r="A691" s="1"/>
      <c r="B691" s="1"/>
      <c r="C691" s="36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">
      <c r="A692" s="1"/>
      <c r="B692" s="1"/>
      <c r="C692" s="36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">
      <c r="A693" s="1"/>
      <c r="B693" s="1"/>
      <c r="C693" s="36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">
      <c r="A694" s="1"/>
      <c r="B694" s="1"/>
      <c r="C694" s="36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">
      <c r="A695" s="1"/>
      <c r="B695" s="1"/>
      <c r="C695" s="36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">
      <c r="A696" s="1"/>
      <c r="B696" s="1"/>
      <c r="C696" s="36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">
      <c r="A697" s="1"/>
      <c r="B697" s="1"/>
      <c r="C697" s="36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">
      <c r="A698" s="1"/>
      <c r="B698" s="1"/>
      <c r="C698" s="36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">
      <c r="A699" s="1"/>
      <c r="B699" s="1"/>
      <c r="C699" s="36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">
      <c r="A700" s="1"/>
      <c r="B700" s="1"/>
      <c r="C700" s="36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">
      <c r="A701" s="1"/>
      <c r="B701" s="1"/>
      <c r="C701" s="36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">
      <c r="A702" s="1"/>
      <c r="B702" s="1"/>
      <c r="C702" s="36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">
      <c r="A703" s="1"/>
      <c r="B703" s="1"/>
      <c r="C703" s="36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">
      <c r="A704" s="1"/>
      <c r="B704" s="1"/>
      <c r="C704" s="36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">
      <c r="A705" s="1"/>
      <c r="B705" s="1"/>
      <c r="C705" s="36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">
      <c r="A706" s="1"/>
      <c r="B706" s="1"/>
      <c r="C706" s="36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">
      <c r="A707" s="1"/>
      <c r="B707" s="1"/>
      <c r="C707" s="36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">
      <c r="A708" s="1"/>
      <c r="B708" s="1"/>
      <c r="C708" s="36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">
      <c r="A709" s="1"/>
      <c r="B709" s="1"/>
      <c r="C709" s="36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">
      <c r="A710" s="1"/>
      <c r="B710" s="1"/>
      <c r="C710" s="36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">
      <c r="A711" s="1"/>
      <c r="B711" s="1"/>
      <c r="C711" s="36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">
      <c r="A712" s="1"/>
      <c r="B712" s="1"/>
      <c r="C712" s="36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">
      <c r="A713" s="1"/>
      <c r="B713" s="1"/>
      <c r="C713" s="36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">
      <c r="A714" s="1"/>
      <c r="B714" s="1"/>
      <c r="C714" s="36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">
      <c r="A715" s="1"/>
      <c r="B715" s="1"/>
      <c r="C715" s="36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">
      <c r="A716" s="1"/>
      <c r="B716" s="1"/>
      <c r="C716" s="36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">
      <c r="A717" s="1"/>
      <c r="B717" s="1"/>
      <c r="C717" s="36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">
      <c r="A718" s="1"/>
      <c r="B718" s="1"/>
      <c r="C718" s="36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">
      <c r="A719" s="1"/>
      <c r="B719" s="1"/>
      <c r="C719" s="36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">
      <c r="A720" s="1"/>
      <c r="B720" s="1"/>
      <c r="C720" s="36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">
      <c r="A721" s="1"/>
      <c r="B721" s="1"/>
      <c r="C721" s="36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">
      <c r="A722" s="1"/>
      <c r="B722" s="1"/>
      <c r="C722" s="36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">
      <c r="A723" s="1"/>
      <c r="B723" s="1"/>
      <c r="C723" s="36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">
      <c r="A724" s="1"/>
      <c r="B724" s="1"/>
      <c r="C724" s="36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">
      <c r="A725" s="1"/>
      <c r="B725" s="1"/>
      <c r="C725" s="36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">
      <c r="A726" s="1"/>
      <c r="B726" s="1"/>
      <c r="C726" s="36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">
      <c r="A727" s="1"/>
      <c r="B727" s="1"/>
      <c r="C727" s="36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">
      <c r="A728" s="1"/>
      <c r="B728" s="1"/>
      <c r="C728" s="36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">
      <c r="A729" s="1"/>
      <c r="B729" s="1"/>
      <c r="C729" s="36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">
      <c r="A730" s="1"/>
      <c r="B730" s="1"/>
      <c r="C730" s="36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">
      <c r="A731" s="1"/>
      <c r="B731" s="1"/>
      <c r="C731" s="36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">
      <c r="A732" s="1"/>
      <c r="B732" s="1"/>
      <c r="C732" s="36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">
      <c r="A733" s="1"/>
      <c r="B733" s="1"/>
      <c r="C733" s="36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">
      <c r="A734" s="1"/>
      <c r="B734" s="1"/>
      <c r="C734" s="36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">
      <c r="A735" s="1"/>
      <c r="B735" s="1"/>
      <c r="C735" s="36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">
      <c r="A736" s="1"/>
      <c r="B736" s="1"/>
      <c r="C736" s="36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">
      <c r="A737" s="1"/>
      <c r="B737" s="1"/>
      <c r="C737" s="36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">
      <c r="A738" s="1"/>
      <c r="B738" s="1"/>
      <c r="C738" s="36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">
      <c r="A739" s="1"/>
      <c r="B739" s="1"/>
      <c r="C739" s="36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">
      <c r="A740" s="1"/>
      <c r="B740" s="1"/>
      <c r="C740" s="36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">
      <c r="A741" s="1"/>
      <c r="B741" s="1"/>
      <c r="C741" s="36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">
      <c r="A742" s="1"/>
      <c r="B742" s="1"/>
      <c r="C742" s="36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">
      <c r="A743" s="1"/>
      <c r="B743" s="1"/>
      <c r="C743" s="36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">
      <c r="A744" s="1"/>
      <c r="B744" s="1"/>
      <c r="C744" s="36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">
      <c r="A745" s="1"/>
      <c r="B745" s="1"/>
      <c r="C745" s="36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">
      <c r="A746" s="1"/>
      <c r="B746" s="1"/>
      <c r="C746" s="36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">
      <c r="A747" s="1"/>
      <c r="B747" s="1"/>
      <c r="C747" s="36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">
      <c r="A748" s="1"/>
      <c r="B748" s="1"/>
      <c r="C748" s="36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">
      <c r="A749" s="1"/>
      <c r="B749" s="1"/>
      <c r="C749" s="36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">
      <c r="A750" s="1"/>
      <c r="B750" s="1"/>
      <c r="C750" s="36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">
      <c r="A751" s="1"/>
      <c r="B751" s="1"/>
      <c r="C751" s="36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">
      <c r="A752" s="1"/>
      <c r="B752" s="1"/>
      <c r="C752" s="36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">
      <c r="A753" s="1"/>
      <c r="B753" s="1"/>
      <c r="C753" s="36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">
      <c r="A754" s="1"/>
      <c r="B754" s="1"/>
      <c r="C754" s="36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">
      <c r="A755" s="1"/>
      <c r="B755" s="1"/>
      <c r="C755" s="36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">
      <c r="A756" s="1"/>
      <c r="B756" s="1"/>
      <c r="C756" s="36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">
      <c r="A757" s="1"/>
      <c r="B757" s="1"/>
      <c r="C757" s="36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">
      <c r="A758" s="1"/>
      <c r="B758" s="1"/>
      <c r="C758" s="36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">
      <c r="A759" s="1"/>
      <c r="B759" s="1"/>
      <c r="C759" s="36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">
      <c r="A760" s="1"/>
      <c r="B760" s="1"/>
      <c r="C760" s="36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">
      <c r="A761" s="1"/>
      <c r="B761" s="1"/>
      <c r="C761" s="36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">
      <c r="A762" s="1"/>
      <c r="B762" s="1"/>
      <c r="C762" s="36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">
      <c r="A763" s="1"/>
      <c r="B763" s="1"/>
      <c r="C763" s="36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">
      <c r="A764" s="1"/>
      <c r="B764" s="1"/>
      <c r="C764" s="36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">
      <c r="A765" s="1"/>
      <c r="B765" s="1"/>
      <c r="C765" s="36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">
      <c r="A766" s="1"/>
      <c r="B766" s="1"/>
      <c r="C766" s="36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">
      <c r="A767" s="1"/>
      <c r="B767" s="1"/>
      <c r="C767" s="36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">
      <c r="A768" s="1"/>
      <c r="B768" s="1"/>
      <c r="C768" s="36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">
      <c r="A769" s="1"/>
      <c r="B769" s="1"/>
      <c r="C769" s="36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">
      <c r="A770" s="1"/>
      <c r="B770" s="1"/>
      <c r="C770" s="36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">
      <c r="A771" s="1"/>
      <c r="B771" s="1"/>
      <c r="C771" s="36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">
      <c r="A772" s="1"/>
      <c r="B772" s="1"/>
      <c r="C772" s="36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">
      <c r="A773" s="1"/>
      <c r="B773" s="1"/>
      <c r="C773" s="36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">
      <c r="A774" s="1"/>
      <c r="B774" s="1"/>
      <c r="C774" s="36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">
      <c r="A775" s="1"/>
      <c r="B775" s="1"/>
      <c r="C775" s="36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">
      <c r="A776" s="1"/>
      <c r="B776" s="1"/>
      <c r="C776" s="36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">
      <c r="A777" s="1"/>
      <c r="B777" s="1"/>
      <c r="C777" s="36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">
      <c r="A778" s="1"/>
      <c r="B778" s="1"/>
      <c r="C778" s="36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">
      <c r="A779" s="1"/>
      <c r="B779" s="1"/>
      <c r="C779" s="36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">
      <c r="A780" s="1"/>
      <c r="B780" s="1"/>
      <c r="C780" s="36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">
      <c r="A781" s="1"/>
      <c r="B781" s="1"/>
      <c r="C781" s="36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">
      <c r="A782" s="1"/>
      <c r="B782" s="1"/>
      <c r="C782" s="36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">
      <c r="A783" s="1"/>
      <c r="B783" s="1"/>
      <c r="C783" s="36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">
      <c r="A784" s="1"/>
      <c r="B784" s="1"/>
      <c r="C784" s="36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">
      <c r="A785" s="1"/>
      <c r="B785" s="1"/>
      <c r="C785" s="36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">
      <c r="A786" s="1"/>
      <c r="B786" s="1"/>
      <c r="C786" s="36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">
      <c r="A787" s="1"/>
      <c r="B787" s="1"/>
      <c r="C787" s="36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">
      <c r="A788" s="1"/>
      <c r="B788" s="1"/>
      <c r="C788" s="36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">
      <c r="A789" s="1"/>
      <c r="B789" s="1"/>
      <c r="C789" s="36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">
      <c r="A790" s="1"/>
      <c r="B790" s="1"/>
      <c r="C790" s="36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">
      <c r="A791" s="1"/>
      <c r="B791" s="1"/>
      <c r="C791" s="36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">
      <c r="A792" s="1"/>
      <c r="B792" s="1"/>
      <c r="C792" s="36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">
      <c r="A793" s="1"/>
      <c r="B793" s="1"/>
      <c r="C793" s="36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">
      <c r="A794" s="1"/>
      <c r="B794" s="1"/>
      <c r="C794" s="36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">
      <c r="A795" s="1"/>
      <c r="B795" s="1"/>
      <c r="C795" s="36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">
      <c r="A796" s="1"/>
      <c r="B796" s="1"/>
      <c r="C796" s="36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">
      <c r="A797" s="1"/>
      <c r="B797" s="1"/>
      <c r="C797" s="36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">
      <c r="A798" s="1"/>
      <c r="B798" s="1"/>
      <c r="C798" s="36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">
      <c r="A799" s="1"/>
      <c r="B799" s="1"/>
      <c r="C799" s="36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">
      <c r="A800" s="1"/>
      <c r="B800" s="1"/>
      <c r="C800" s="36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">
      <c r="A801" s="1"/>
      <c r="B801" s="1"/>
      <c r="C801" s="36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">
      <c r="A802" s="1"/>
      <c r="B802" s="1"/>
      <c r="C802" s="36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">
      <c r="A803" s="1"/>
      <c r="B803" s="1"/>
      <c r="C803" s="36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">
      <c r="A804" s="1"/>
      <c r="B804" s="1"/>
      <c r="C804" s="36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">
      <c r="A805" s="1"/>
      <c r="B805" s="1"/>
      <c r="C805" s="36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">
      <c r="A806" s="1"/>
      <c r="B806" s="1"/>
      <c r="C806" s="36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">
      <c r="A807" s="1"/>
      <c r="B807" s="1"/>
      <c r="C807" s="36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">
      <c r="A808" s="1"/>
      <c r="B808" s="1"/>
      <c r="C808" s="36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">
      <c r="A809" s="1"/>
      <c r="B809" s="1"/>
      <c r="C809" s="36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">
      <c r="A810" s="1"/>
      <c r="B810" s="1"/>
      <c r="C810" s="36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">
      <c r="A811" s="1"/>
      <c r="B811" s="1"/>
      <c r="C811" s="36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">
      <c r="A812" s="1"/>
      <c r="B812" s="1"/>
      <c r="C812" s="36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">
      <c r="A813" s="1"/>
      <c r="B813" s="1"/>
      <c r="C813" s="36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">
      <c r="A814" s="1"/>
      <c r="B814" s="1"/>
      <c r="C814" s="36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">
      <c r="A815" s="1"/>
      <c r="B815" s="1"/>
      <c r="C815" s="36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">
      <c r="A816" s="1"/>
      <c r="B816" s="1"/>
      <c r="C816" s="36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">
      <c r="A817" s="1"/>
      <c r="B817" s="1"/>
      <c r="C817" s="36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">
      <c r="A818" s="1"/>
      <c r="B818" s="1"/>
      <c r="C818" s="36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">
      <c r="A819" s="1"/>
      <c r="B819" s="1"/>
      <c r="C819" s="36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">
      <c r="A820" s="1"/>
      <c r="B820" s="1"/>
      <c r="C820" s="36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">
      <c r="A821" s="1"/>
      <c r="B821" s="1"/>
      <c r="C821" s="36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">
      <c r="A822" s="1"/>
      <c r="B822" s="1"/>
      <c r="C822" s="36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">
      <c r="A823" s="1"/>
      <c r="B823" s="1"/>
      <c r="C823" s="36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">
      <c r="A824" s="1"/>
      <c r="B824" s="1"/>
      <c r="C824" s="36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">
      <c r="A825" s="1"/>
      <c r="B825" s="1"/>
      <c r="C825" s="36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">
      <c r="A826" s="1"/>
      <c r="B826" s="1"/>
      <c r="C826" s="36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">
      <c r="A827" s="1"/>
      <c r="B827" s="1"/>
      <c r="C827" s="36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">
      <c r="A828" s="1"/>
      <c r="B828" s="1"/>
      <c r="C828" s="36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">
      <c r="A829" s="1"/>
      <c r="B829" s="1"/>
      <c r="C829" s="36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">
      <c r="A830" s="1"/>
      <c r="B830" s="1"/>
      <c r="C830" s="36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">
      <c r="A831" s="1"/>
      <c r="B831" s="1"/>
      <c r="C831" s="36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">
      <c r="A832" s="1"/>
      <c r="B832" s="1"/>
      <c r="C832" s="36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">
      <c r="A833" s="1"/>
      <c r="B833" s="1"/>
      <c r="C833" s="36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">
      <c r="A834" s="1"/>
      <c r="B834" s="1"/>
      <c r="C834" s="36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">
      <c r="A835" s="1"/>
      <c r="B835" s="1"/>
      <c r="C835" s="36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">
      <c r="A836" s="1"/>
      <c r="B836" s="1"/>
      <c r="C836" s="36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">
      <c r="A837" s="1"/>
      <c r="B837" s="1"/>
      <c r="C837" s="36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">
      <c r="A838" s="1"/>
      <c r="B838" s="1"/>
      <c r="C838" s="36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">
      <c r="A839" s="1"/>
      <c r="B839" s="1"/>
      <c r="C839" s="36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">
      <c r="A840" s="1"/>
      <c r="B840" s="1"/>
      <c r="C840" s="36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">
      <c r="A841" s="1"/>
      <c r="B841" s="1"/>
      <c r="C841" s="36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">
      <c r="A842" s="1"/>
      <c r="B842" s="1"/>
      <c r="C842" s="36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">
      <c r="A843" s="1"/>
      <c r="B843" s="1"/>
      <c r="C843" s="36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">
      <c r="A844" s="1"/>
      <c r="B844" s="1"/>
      <c r="C844" s="36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">
      <c r="A845" s="1"/>
      <c r="B845" s="1"/>
      <c r="C845" s="36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">
      <c r="A846" s="1"/>
      <c r="B846" s="1"/>
      <c r="C846" s="36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">
      <c r="A847" s="1"/>
      <c r="B847" s="1"/>
      <c r="C847" s="36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">
      <c r="A848" s="1"/>
      <c r="B848" s="1"/>
      <c r="C848" s="36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">
      <c r="A849" s="1"/>
      <c r="B849" s="1"/>
      <c r="C849" s="36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">
      <c r="A850" s="1"/>
      <c r="B850" s="1"/>
      <c r="C850" s="36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">
      <c r="A851" s="1"/>
      <c r="B851" s="1"/>
      <c r="C851" s="36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">
      <c r="A852" s="1"/>
      <c r="B852" s="1"/>
      <c r="C852" s="36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">
      <c r="A853" s="1"/>
      <c r="B853" s="1"/>
      <c r="C853" s="36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">
      <c r="A854" s="1"/>
      <c r="B854" s="1"/>
      <c r="C854" s="36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">
      <c r="A855" s="1"/>
      <c r="B855" s="1"/>
      <c r="C855" s="36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">
      <c r="A856" s="1"/>
      <c r="B856" s="1"/>
      <c r="C856" s="36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">
      <c r="A857" s="1"/>
      <c r="B857" s="1"/>
      <c r="C857" s="36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">
      <c r="A858" s="1"/>
      <c r="B858" s="1"/>
      <c r="C858" s="36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">
      <c r="A859" s="1"/>
      <c r="B859" s="1"/>
      <c r="C859" s="36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">
      <c r="A860" s="1"/>
      <c r="B860" s="1"/>
      <c r="C860" s="36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">
      <c r="A861" s="1"/>
      <c r="B861" s="1"/>
      <c r="C861" s="36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">
      <c r="A862" s="1"/>
      <c r="B862" s="1"/>
      <c r="C862" s="36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">
      <c r="A863" s="1"/>
      <c r="B863" s="1"/>
      <c r="C863" s="36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">
      <c r="A864" s="1"/>
      <c r="B864" s="1"/>
      <c r="C864" s="36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">
      <c r="A865" s="1"/>
      <c r="B865" s="1"/>
      <c r="C865" s="36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">
      <c r="A866" s="1"/>
      <c r="B866" s="1"/>
      <c r="C866" s="36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">
      <c r="A867" s="1"/>
      <c r="B867" s="1"/>
      <c r="C867" s="36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">
      <c r="A868" s="1"/>
      <c r="B868" s="1"/>
      <c r="C868" s="36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">
      <c r="A869" s="1"/>
      <c r="B869" s="1"/>
      <c r="C869" s="36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">
      <c r="A870" s="1"/>
      <c r="B870" s="1"/>
      <c r="C870" s="36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">
      <c r="A871" s="1"/>
      <c r="B871" s="1"/>
      <c r="C871" s="36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">
      <c r="A872" s="1"/>
      <c r="B872" s="1"/>
      <c r="C872" s="36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">
      <c r="A873" s="1"/>
      <c r="B873" s="1"/>
      <c r="C873" s="36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">
      <c r="A874" s="1"/>
      <c r="B874" s="1"/>
      <c r="C874" s="36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">
      <c r="A875" s="1"/>
      <c r="B875" s="1"/>
      <c r="C875" s="36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">
      <c r="A876" s="1"/>
      <c r="B876" s="1"/>
      <c r="C876" s="36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">
      <c r="A877" s="1"/>
      <c r="B877" s="1"/>
      <c r="C877" s="36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">
      <c r="A878" s="1"/>
      <c r="B878" s="1"/>
      <c r="C878" s="36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">
      <c r="A879" s="1"/>
      <c r="B879" s="1"/>
      <c r="C879" s="36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">
      <c r="A880" s="1"/>
      <c r="B880" s="1"/>
      <c r="C880" s="36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">
      <c r="A881" s="1"/>
      <c r="B881" s="1"/>
      <c r="C881" s="36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">
      <c r="A882" s="1"/>
      <c r="B882" s="1"/>
      <c r="C882" s="36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">
      <c r="A883" s="1"/>
      <c r="B883" s="1"/>
      <c r="C883" s="36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">
      <c r="A884" s="1"/>
      <c r="B884" s="1"/>
      <c r="C884" s="36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">
      <c r="A885" s="1"/>
      <c r="B885" s="1"/>
      <c r="C885" s="36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">
      <c r="A886" s="1"/>
      <c r="B886" s="1"/>
      <c r="C886" s="36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">
      <c r="A887" s="1"/>
      <c r="B887" s="1"/>
      <c r="C887" s="36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">
      <c r="A888" s="1"/>
      <c r="B888" s="1"/>
      <c r="C888" s="36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">
      <c r="A889" s="1"/>
      <c r="B889" s="1"/>
      <c r="C889" s="36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">
      <c r="A890" s="1"/>
      <c r="B890" s="1"/>
      <c r="C890" s="36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">
      <c r="A891" s="1"/>
      <c r="B891" s="1"/>
      <c r="C891" s="36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">
      <c r="A892" s="1"/>
      <c r="B892" s="1"/>
      <c r="C892" s="36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">
      <c r="A893" s="1"/>
      <c r="B893" s="1"/>
      <c r="C893" s="36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">
      <c r="A894" s="1"/>
      <c r="B894" s="1"/>
      <c r="C894" s="36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">
      <c r="A895" s="1"/>
      <c r="B895" s="1"/>
      <c r="C895" s="36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">
      <c r="A896" s="1"/>
      <c r="B896" s="1"/>
      <c r="C896" s="36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">
      <c r="A897" s="1"/>
      <c r="B897" s="1"/>
      <c r="C897" s="36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">
      <c r="A898" s="1"/>
      <c r="B898" s="1"/>
      <c r="C898" s="36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">
      <c r="A899" s="1"/>
      <c r="B899" s="1"/>
      <c r="C899" s="36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">
      <c r="A900" s="1"/>
      <c r="B900" s="1"/>
      <c r="C900" s="36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">
      <c r="A901" s="1"/>
      <c r="B901" s="1"/>
      <c r="C901" s="36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">
      <c r="A902" s="1"/>
      <c r="B902" s="1"/>
      <c r="C902" s="36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">
      <c r="A903" s="1"/>
      <c r="B903" s="1"/>
      <c r="C903" s="36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">
      <c r="A904" s="1"/>
      <c r="B904" s="1"/>
      <c r="C904" s="36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">
      <c r="A905" s="1"/>
      <c r="B905" s="1"/>
      <c r="C905" s="36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">
      <c r="A906" s="1"/>
      <c r="B906" s="1"/>
      <c r="C906" s="36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">
      <c r="A907" s="1"/>
      <c r="B907" s="1"/>
      <c r="C907" s="36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">
      <c r="A908" s="1"/>
      <c r="B908" s="1"/>
      <c r="C908" s="36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">
      <c r="A909" s="1"/>
      <c r="B909" s="1"/>
      <c r="C909" s="36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">
      <c r="A910" s="1"/>
      <c r="B910" s="1"/>
      <c r="C910" s="36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">
      <c r="A911" s="1"/>
      <c r="B911" s="1"/>
      <c r="C911" s="36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">
      <c r="A912" s="1"/>
      <c r="B912" s="1"/>
      <c r="C912" s="36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">
      <c r="A913" s="1"/>
      <c r="B913" s="1"/>
      <c r="C913" s="36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">
      <c r="A914" s="1"/>
      <c r="B914" s="1"/>
      <c r="C914" s="36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">
      <c r="A915" s="1"/>
      <c r="B915" s="1"/>
      <c r="C915" s="36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">
      <c r="A916" s="1"/>
      <c r="B916" s="1"/>
      <c r="C916" s="36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">
      <c r="A917" s="1"/>
      <c r="B917" s="1"/>
      <c r="C917" s="36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">
      <c r="A918" s="1"/>
      <c r="B918" s="1"/>
      <c r="C918" s="36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">
      <c r="A919" s="1"/>
      <c r="B919" s="1"/>
      <c r="C919" s="36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">
      <c r="A920" s="1"/>
      <c r="B920" s="1"/>
      <c r="C920" s="36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">
      <c r="A921" s="1"/>
      <c r="B921" s="1"/>
      <c r="C921" s="36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">
      <c r="A922" s="1"/>
      <c r="B922" s="1"/>
      <c r="C922" s="36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">
      <c r="A923" s="1"/>
      <c r="B923" s="1"/>
      <c r="C923" s="36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">
      <c r="A924" s="1"/>
      <c r="B924" s="1"/>
      <c r="C924" s="36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">
      <c r="A925" s="1"/>
      <c r="B925" s="1"/>
      <c r="C925" s="36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">
      <c r="A926" s="1"/>
      <c r="B926" s="1"/>
      <c r="C926" s="36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">
      <c r="A927" s="1"/>
      <c r="B927" s="1"/>
      <c r="C927" s="36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">
      <c r="A928" s="1"/>
      <c r="B928" s="1"/>
      <c r="C928" s="36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">
      <c r="A929" s="1"/>
      <c r="B929" s="1"/>
      <c r="C929" s="36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">
      <c r="A930" s="1"/>
      <c r="B930" s="1"/>
      <c r="C930" s="36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">
      <c r="A931" s="1"/>
      <c r="B931" s="1"/>
      <c r="C931" s="36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">
      <c r="A932" s="1"/>
      <c r="B932" s="1"/>
      <c r="C932" s="36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">
      <c r="A933" s="1"/>
      <c r="B933" s="1"/>
      <c r="C933" s="36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">
      <c r="A934" s="1"/>
      <c r="B934" s="1"/>
      <c r="C934" s="36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">
      <c r="A935" s="1"/>
      <c r="B935" s="1"/>
      <c r="C935" s="36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">
      <c r="A936" s="1"/>
      <c r="B936" s="1"/>
      <c r="C936" s="36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">
      <c r="A937" s="1"/>
      <c r="B937" s="1"/>
      <c r="C937" s="36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">
      <c r="A938" s="1"/>
      <c r="B938" s="1"/>
      <c r="C938" s="36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">
      <c r="A939" s="1"/>
      <c r="B939" s="1"/>
      <c r="C939" s="36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">
      <c r="A940" s="1"/>
      <c r="B940" s="1"/>
      <c r="C940" s="36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">
      <c r="A941" s="1"/>
      <c r="B941" s="1"/>
      <c r="C941" s="36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">
      <c r="A942" s="1"/>
      <c r="B942" s="1"/>
      <c r="C942" s="36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">
      <c r="A943" s="1"/>
      <c r="B943" s="1"/>
      <c r="C943" s="36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">
      <c r="A944" s="1"/>
      <c r="B944" s="1"/>
      <c r="C944" s="36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">
      <c r="A945" s="1"/>
      <c r="B945" s="1"/>
      <c r="C945" s="36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">
      <c r="A946" s="1"/>
      <c r="B946" s="1"/>
      <c r="C946" s="36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">
      <c r="A947" s="1"/>
      <c r="B947" s="1"/>
      <c r="C947" s="36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">
      <c r="A948" s="1"/>
      <c r="B948" s="1"/>
      <c r="C948" s="36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">
      <c r="A949" s="1"/>
      <c r="B949" s="1"/>
      <c r="C949" s="36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">
      <c r="A950" s="1"/>
      <c r="B950" s="1"/>
      <c r="C950" s="36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">
      <c r="A951" s="1"/>
      <c r="B951" s="1"/>
      <c r="C951" s="36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">
      <c r="A952" s="1"/>
      <c r="B952" s="1"/>
      <c r="C952" s="36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">
      <c r="A953" s="1"/>
      <c r="B953" s="1"/>
      <c r="C953" s="36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">
      <c r="A954" s="1"/>
      <c r="B954" s="1"/>
      <c r="C954" s="36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">
      <c r="A955" s="1"/>
      <c r="B955" s="1"/>
      <c r="C955" s="36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">
      <c r="A956" s="1"/>
      <c r="B956" s="1"/>
      <c r="C956" s="36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">
      <c r="A957" s="1"/>
      <c r="B957" s="1"/>
      <c r="C957" s="36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">
      <c r="A958" s="1"/>
      <c r="B958" s="1"/>
      <c r="C958" s="36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">
      <c r="A959" s="1"/>
      <c r="B959" s="1"/>
      <c r="C959" s="36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">
      <c r="A960" s="1"/>
      <c r="B960" s="1"/>
      <c r="C960" s="36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">
      <c r="A961" s="1"/>
      <c r="B961" s="1"/>
      <c r="C961" s="36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">
      <c r="A962" s="1"/>
      <c r="B962" s="1"/>
      <c r="C962" s="36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">
      <c r="A963" s="1"/>
      <c r="B963" s="1"/>
      <c r="C963" s="36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">
      <c r="A964" s="1"/>
      <c r="B964" s="1"/>
      <c r="C964" s="36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">
      <c r="A965" s="1"/>
      <c r="B965" s="1"/>
      <c r="C965" s="36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">
      <c r="A966" s="1"/>
      <c r="B966" s="1"/>
      <c r="C966" s="36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">
      <c r="A967" s="1"/>
      <c r="B967" s="1"/>
      <c r="C967" s="36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">
      <c r="A968" s="1"/>
      <c r="B968" s="1"/>
      <c r="C968" s="36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">
      <c r="A969" s="1"/>
      <c r="B969" s="1"/>
      <c r="C969" s="36"/>
      <c r="D969" s="1"/>
      <c r="E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">
      <c r="A970" s="1"/>
      <c r="B970" s="1"/>
      <c r="C970" s="36"/>
      <c r="D970" s="1"/>
      <c r="E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">
      <c r="A971" s="1"/>
      <c r="B971" s="1"/>
      <c r="C971" s="36"/>
      <c r="D971" s="1"/>
      <c r="E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">
      <c r="A972" s="1"/>
      <c r="B972" s="1"/>
      <c r="C972" s="36"/>
      <c r="D972" s="1"/>
      <c r="E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">
      <c r="A973" s="1"/>
      <c r="B973" s="1"/>
      <c r="C973" s="36"/>
      <c r="D973" s="1"/>
      <c r="E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">
      <c r="A974" s="1"/>
      <c r="B974" s="1"/>
      <c r="C974" s="36"/>
      <c r="D974" s="1"/>
      <c r="E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">
      <c r="A975" s="1"/>
      <c r="B975" s="1"/>
      <c r="C975" s="36"/>
      <c r="D975" s="1"/>
      <c r="E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">
      <c r="A976" s="1"/>
      <c r="B976" s="1"/>
      <c r="C976" s="36"/>
      <c r="D976" s="1"/>
      <c r="E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">
      <c r="A977" s="1"/>
      <c r="B977" s="1"/>
      <c r="C977" s="36"/>
      <c r="D977" s="1"/>
      <c r="E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">
      <c r="A978" s="1"/>
      <c r="B978" s="1"/>
      <c r="C978" s="36"/>
      <c r="D978" s="1"/>
      <c r="E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">
      <c r="A979" s="1"/>
      <c r="B979" s="1"/>
      <c r="C979" s="36"/>
      <c r="D979" s="1"/>
      <c r="E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">
      <c r="A980" s="1"/>
      <c r="B980" s="1"/>
      <c r="C980" s="36"/>
      <c r="D980" s="1"/>
      <c r="E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">
      <c r="A981" s="1"/>
      <c r="B981" s="1"/>
      <c r="C981" s="36"/>
      <c r="D981" s="1"/>
      <c r="E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">
      <c r="A982" s="1"/>
      <c r="B982" s="1"/>
      <c r="C982" s="36"/>
      <c r="D982" s="1"/>
      <c r="E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">
      <c r="A983" s="1"/>
      <c r="B983" s="1"/>
      <c r="C983" s="36"/>
      <c r="D983" s="1"/>
      <c r="E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">
      <c r="A984" s="1"/>
      <c r="B984" s="1"/>
      <c r="C984" s="36"/>
      <c r="D984" s="1"/>
      <c r="E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">
      <c r="A985" s="1"/>
      <c r="B985" s="1"/>
      <c r="C985" s="36"/>
      <c r="D985" s="1"/>
      <c r="E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">
      <c r="A986" s="1"/>
      <c r="B986" s="1"/>
      <c r="C986" s="36"/>
      <c r="D986" s="1"/>
      <c r="E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">
      <c r="A987" s="1"/>
      <c r="B987" s="1"/>
      <c r="C987" s="36"/>
      <c r="D987" s="1"/>
      <c r="E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">
      <c r="A988" s="1"/>
      <c r="B988" s="1"/>
      <c r="C988" s="36"/>
      <c r="D988" s="1"/>
      <c r="E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">
      <c r="A989" s="1"/>
      <c r="B989" s="1"/>
      <c r="C989" s="36"/>
      <c r="D989" s="1"/>
      <c r="E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">
      <c r="A990" s="1"/>
      <c r="B990" s="1"/>
      <c r="C990" s="36"/>
      <c r="D990" s="1"/>
      <c r="E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">
      <c r="A991" s="1"/>
      <c r="B991" s="1"/>
      <c r="C991" s="36"/>
      <c r="D991" s="1"/>
      <c r="E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">
      <c r="A992" s="1"/>
      <c r="B992" s="1"/>
      <c r="C992" s="36"/>
      <c r="D992" s="1"/>
      <c r="E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">
      <c r="A993" s="1"/>
      <c r="B993" s="1"/>
      <c r="C993" s="36"/>
      <c r="D993" s="1"/>
      <c r="E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">
      <c r="A994" s="1"/>
      <c r="B994" s="1"/>
      <c r="C994" s="36"/>
      <c r="D994" s="1"/>
      <c r="E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">
      <c r="A995" s="1"/>
      <c r="B995" s="1"/>
      <c r="C995" s="36"/>
      <c r="D995" s="1"/>
      <c r="E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">
      <c r="A996" s="1"/>
      <c r="B996" s="1"/>
      <c r="C996" s="36"/>
      <c r="D996" s="1"/>
      <c r="E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">
      <c r="A997" s="1"/>
      <c r="B997" s="1"/>
      <c r="C997" s="36"/>
      <c r="D997" s="1"/>
      <c r="E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">
      <c r="A998" s="1"/>
      <c r="B998" s="1"/>
      <c r="C998" s="36"/>
      <c r="D998" s="1"/>
      <c r="E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">
      <c r="A999" s="1"/>
      <c r="B999" s="1"/>
      <c r="C999" s="36"/>
      <c r="D999" s="1"/>
      <c r="E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">
      <c r="A1000" s="1"/>
      <c r="B1000" s="1"/>
      <c r="C1000" s="36"/>
      <c r="D1000" s="1"/>
      <c r="E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 x14ac:dyDescent="0.2">
      <c r="A1001" s="1"/>
      <c r="B1001" s="1"/>
      <c r="C1001" s="36"/>
      <c r="D1001" s="1"/>
      <c r="E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 x14ac:dyDescent="0.2">
      <c r="A1002" s="1"/>
      <c r="B1002" s="1"/>
      <c r="C1002" s="36"/>
      <c r="D1002" s="1"/>
      <c r="E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 x14ac:dyDescent="0.2">
      <c r="A1003" s="1"/>
      <c r="B1003" s="1"/>
      <c r="C1003" s="36"/>
      <c r="D1003" s="1"/>
      <c r="E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 x14ac:dyDescent="0.2">
      <c r="A1004" s="1"/>
      <c r="B1004" s="1"/>
      <c r="C1004" s="36"/>
      <c r="D1004" s="1"/>
      <c r="E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 x14ac:dyDescent="0.2">
      <c r="A1005" s="1"/>
      <c r="B1005" s="1"/>
      <c r="C1005" s="36"/>
      <c r="D1005" s="1"/>
      <c r="E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 x14ac:dyDescent="0.2">
      <c r="A1006" s="1"/>
      <c r="B1006" s="1"/>
      <c r="C1006" s="36"/>
      <c r="D1006" s="1"/>
      <c r="E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 x14ac:dyDescent="0.2">
      <c r="A1007" s="1"/>
      <c r="B1007" s="1"/>
      <c r="C1007" s="36"/>
      <c r="D1007" s="1"/>
      <c r="E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 x14ac:dyDescent="0.2">
      <c r="A1008" s="1"/>
      <c r="B1008" s="1"/>
      <c r="C1008" s="36"/>
      <c r="D1008" s="1"/>
      <c r="E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 x14ac:dyDescent="0.2">
      <c r="A1009" s="1"/>
      <c r="B1009" s="1"/>
      <c r="C1009" s="36"/>
      <c r="D1009" s="1"/>
      <c r="E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 x14ac:dyDescent="0.2">
      <c r="A1010" s="1"/>
      <c r="B1010" s="1"/>
      <c r="C1010" s="36"/>
      <c r="D1010" s="1"/>
      <c r="E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4.25" customHeight="1" x14ac:dyDescent="0.2">
      <c r="A1011" s="1"/>
      <c r="B1011" s="1"/>
      <c r="C1011" s="36"/>
      <c r="D1011" s="1"/>
      <c r="E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4.25" customHeight="1" x14ac:dyDescent="0.2">
      <c r="A1012" s="1"/>
      <c r="B1012" s="1"/>
      <c r="C1012" s="36"/>
      <c r="D1012" s="1"/>
      <c r="E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4.25" customHeight="1" x14ac:dyDescent="0.2">
      <c r="A1013" s="1"/>
      <c r="B1013" s="1"/>
      <c r="C1013" s="36"/>
      <c r="D1013" s="1"/>
      <c r="E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4.25" customHeight="1" x14ac:dyDescent="0.2">
      <c r="A1014" s="1"/>
      <c r="B1014" s="1"/>
      <c r="C1014" s="36"/>
      <c r="D1014" s="1"/>
      <c r="E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4.25" customHeight="1" x14ac:dyDescent="0.2">
      <c r="A1015" s="1"/>
      <c r="B1015" s="1"/>
      <c r="C1015" s="36"/>
      <c r="D1015" s="1"/>
      <c r="E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4.25" customHeight="1" x14ac:dyDescent="0.2">
      <c r="A1016" s="1"/>
      <c r="B1016" s="1"/>
      <c r="C1016" s="36"/>
      <c r="D1016" s="1"/>
      <c r="E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4.25" customHeight="1" x14ac:dyDescent="0.2">
      <c r="A1017" s="1"/>
      <c r="B1017" s="1"/>
      <c r="C1017" s="36"/>
      <c r="D1017" s="1"/>
      <c r="E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4.25" customHeight="1" x14ac:dyDescent="0.2">
      <c r="A1018" s="1"/>
      <c r="B1018" s="1"/>
      <c r="C1018" s="36"/>
      <c r="D1018" s="1"/>
      <c r="E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4.25" customHeight="1" x14ac:dyDescent="0.2">
      <c r="A1019" s="1"/>
      <c r="B1019" s="1"/>
      <c r="C1019" s="36"/>
      <c r="D1019" s="1"/>
      <c r="E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4.25" customHeight="1" x14ac:dyDescent="0.2">
      <c r="A1020" s="1"/>
      <c r="B1020" s="1"/>
      <c r="C1020" s="36"/>
      <c r="D1020" s="1"/>
      <c r="E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4.25" customHeight="1" x14ac:dyDescent="0.2">
      <c r="A1021" s="1"/>
      <c r="B1021" s="1"/>
      <c r="C1021" s="36"/>
      <c r="D1021" s="1"/>
      <c r="E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4.25" customHeight="1" x14ac:dyDescent="0.2">
      <c r="A1022" s="1"/>
      <c r="B1022" s="1"/>
      <c r="C1022" s="36"/>
      <c r="D1022" s="1"/>
      <c r="E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4.25" customHeight="1" x14ac:dyDescent="0.2">
      <c r="A1023" s="1"/>
      <c r="B1023" s="1"/>
      <c r="C1023" s="36"/>
      <c r="D1023" s="1"/>
      <c r="E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</sheetData>
  <sortState xmlns:xlrd2="http://schemas.microsoft.com/office/spreadsheetml/2017/richdata2" ref="L8:L12">
    <sortCondition ref="L8"/>
  </sortState>
  <mergeCells count="1">
    <mergeCell ref="B9:P9"/>
  </mergeCells>
  <phoneticPr fontId="9" type="noConversion"/>
  <conditionalFormatting sqref="B11:C21">
    <cfRule type="containsBlanks" dxfId="1" priority="11">
      <formula>LEN(TRIM(B11))=0</formula>
    </cfRule>
  </conditionalFormatting>
  <conditionalFormatting sqref="K13:K109">
    <cfRule type="containsBlanks" dxfId="0" priority="1">
      <formula>LEN(TRIM(K13))=0</formula>
    </cfRule>
  </conditionalFormatting>
  <pageMargins left="0.7" right="0.7" top="0.75" bottom="0.75" header="0" footer="0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8D8D72AF386A4A9F160E7A756008B6" ma:contentTypeVersion="17" ma:contentTypeDescription="Een nieuw document maken." ma:contentTypeScope="" ma:versionID="83d72786ca7dd79bf66a3e57029e343d">
  <xsd:schema xmlns:xsd="http://www.w3.org/2001/XMLSchema" xmlns:xs="http://www.w3.org/2001/XMLSchema" xmlns:p="http://schemas.microsoft.com/office/2006/metadata/properties" xmlns:ns2="b181bb12-d79e-4f54-bc1f-308897e96cfd" xmlns:ns3="b412cca8-da11-47e8-aaf8-f25e3b3a4cb6" targetNamespace="http://schemas.microsoft.com/office/2006/metadata/properties" ma:root="true" ma:fieldsID="cf388bc2104cf49f3ef9a0eb0de41dd9" ns2:_="" ns3:_="">
    <xsd:import namespace="b181bb12-d79e-4f54-bc1f-308897e96cfd"/>
    <xsd:import namespace="b412cca8-da11-47e8-aaf8-f25e3b3a4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81bb12-d79e-4f54-bc1f-308897e96c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Afbeeldingtags" ma:readOnly="false" ma:fieldId="{5cf76f15-5ced-4ddc-b409-7134ff3c332f}" ma:taxonomyMulti="true" ma:sspId="9e859127-965c-4449-b812-f2b50dbb9b9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2cca8-da11-47e8-aaf8-f25e3b3a4cb6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39502bee-f94f-4620-bd24-77a4b76c9be8}" ma:internalName="TaxCatchAll" ma:showField="CatchAllData" ma:web="b412cca8-da11-47e8-aaf8-f25e3b3a4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181bb12-d79e-4f54-bc1f-308897e96cfd">
      <Terms xmlns="http://schemas.microsoft.com/office/infopath/2007/PartnerControls"/>
    </lcf76f155ced4ddcb4097134ff3c332f>
    <TaxCatchAll xmlns="b412cca8-da11-47e8-aaf8-f25e3b3a4cb6" xsi:nil="true"/>
    <SharedWithUsers xmlns="b412cca8-da11-47e8-aaf8-f25e3b3a4cb6">
      <UserInfo>
        <DisplayName>Rombouts, Joyce</DisplayName>
        <AccountId>24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A28F62F8-5070-49DD-94A4-46163EDA92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D14CEA-C352-4104-9FC6-A0E8CEE9FC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181bb12-d79e-4f54-bc1f-308897e96cfd"/>
    <ds:schemaRef ds:uri="b412cca8-da11-47e8-aaf8-f25e3b3a4c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CABA259-5313-4259-AB28-43C46A0087FC}">
  <ds:schemaRefs>
    <ds:schemaRef ds:uri="http://schemas.openxmlformats.org/package/2006/metadata/core-properties"/>
    <ds:schemaRef ds:uri="b181bb12-d79e-4f54-bc1f-308897e96cfd"/>
    <ds:schemaRef ds:uri="http://purl.org/dc/dcmitype/"/>
    <ds:schemaRef ds:uri="http://www.w3.org/XML/1998/namespace"/>
    <ds:schemaRef ds:uri="http://purl.org/dc/elements/1.1/"/>
    <ds:schemaRef ds:uri="b412cca8-da11-47e8-aaf8-f25e3b3a4cb6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CO2-emissie-inventaris</vt:lpstr>
      <vt:lpstr>CO2-voortgang</vt:lpstr>
      <vt:lpstr>Omrekening naar GJ</vt:lpstr>
      <vt:lpstr>Energiebeoordelingen</vt:lpstr>
      <vt:lpstr>Data</vt:lpstr>
      <vt:lpstr>Input keuzevariabelen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Cleo</dc:creator>
  <cp:keywords/>
  <dc:description/>
  <cp:lastModifiedBy>Donkelaar, Irene ten</cp:lastModifiedBy>
  <cp:revision/>
  <dcterms:created xsi:type="dcterms:W3CDTF">2019-11-25T12:21:07Z</dcterms:created>
  <dcterms:modified xsi:type="dcterms:W3CDTF">2023-07-18T14:06:33Z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1825462400</vt:i4>
  </property>
  <property fmtid="{D5CDD505-2E9C-101B-9397-08002B2CF9AE}" pid="3" name="_NewReviewCycle">
    <vt:lpwstr/>
  </property>
  <property fmtid="{D5CDD505-2E9C-101B-9397-08002B2CF9AE}" pid="4" name="_EmailSubject">
    <vt:lpwstr>verificatie CO2-footprint CO2PL</vt:lpwstr>
  </property>
  <property fmtid="{D5CDD505-2E9C-101B-9397-08002B2CF9AE}" pid="5" name="_AuthorEmailDisplayName">
    <vt:lpwstr>Boetzel, Anja</vt:lpwstr>
  </property>
  <property fmtid="{D5CDD505-2E9C-101B-9397-08002B2CF9AE}" pid="6" name="_PreviousAdHocReviewCycleID">
    <vt:i4>-1137109366</vt:i4>
  </property>
  <property fmtid="{D5CDD505-2E9C-101B-9397-08002B2CF9AE}" pid="7" name="eDOCS AutoSave">
    <vt:lpwstr>20200617125950380</vt:lpwstr>
  </property>
  <property fmtid="{D5CDD505-2E9C-101B-9397-08002B2CF9AE}" pid="8" name="_AuthorEmail">
    <vt:lpwstr>aboetzel@hhdelfland.nl</vt:lpwstr>
  </property>
  <property fmtid="{D5CDD505-2E9C-101B-9397-08002B2CF9AE}" pid="9" name="_ReviewingToolsShownOnce">
    <vt:lpwstr/>
  </property>
  <property fmtid="{D5CDD505-2E9C-101B-9397-08002B2CF9AE}" pid="10" name="ContentTypeId">
    <vt:lpwstr>0x010100018D8D72AF386A4A9F160E7A756008B6</vt:lpwstr>
  </property>
  <property fmtid="{D5CDD505-2E9C-101B-9397-08002B2CF9AE}" pid="11" name="Order">
    <vt:r8>6900</vt:r8>
  </property>
  <property fmtid="{D5CDD505-2E9C-101B-9397-08002B2CF9AE}" pid="12" name="MediaServiceImageTags">
    <vt:lpwstr/>
  </property>
  <property fmtid="{D5CDD505-2E9C-101B-9397-08002B2CF9AE}" pid="13" name="MSIP_Label_f8d014da-bad0-4f7b-8267-8921e925f36a_Enabled">
    <vt:lpwstr>true</vt:lpwstr>
  </property>
  <property fmtid="{D5CDD505-2E9C-101B-9397-08002B2CF9AE}" pid="14" name="MSIP_Label_f8d014da-bad0-4f7b-8267-8921e925f36a_SetDate">
    <vt:lpwstr>2023-07-18T09:37:28Z</vt:lpwstr>
  </property>
  <property fmtid="{D5CDD505-2E9C-101B-9397-08002B2CF9AE}" pid="15" name="MSIP_Label_f8d014da-bad0-4f7b-8267-8921e925f36a_Method">
    <vt:lpwstr>Standard</vt:lpwstr>
  </property>
  <property fmtid="{D5CDD505-2E9C-101B-9397-08002B2CF9AE}" pid="16" name="MSIP_Label_f8d014da-bad0-4f7b-8267-8921e925f36a_Name">
    <vt:lpwstr>Interne gebruik Delfland</vt:lpwstr>
  </property>
  <property fmtid="{D5CDD505-2E9C-101B-9397-08002B2CF9AE}" pid="17" name="MSIP_Label_f8d014da-bad0-4f7b-8267-8921e925f36a_SiteId">
    <vt:lpwstr>4c3b82f9-a594-4dd6-a60e-1f43ac6fa22e</vt:lpwstr>
  </property>
  <property fmtid="{D5CDD505-2E9C-101B-9397-08002B2CF9AE}" pid="18" name="MSIP_Label_f8d014da-bad0-4f7b-8267-8921e925f36a_ActionId">
    <vt:lpwstr>e7a9ec49-51ce-4376-a53a-b6fa35d9a4c7</vt:lpwstr>
  </property>
  <property fmtid="{D5CDD505-2E9C-101B-9397-08002B2CF9AE}" pid="19" name="MSIP_Label_f8d014da-bad0-4f7b-8267-8921e925f36a_ContentBits">
    <vt:lpwstr>0</vt:lpwstr>
  </property>
</Properties>
</file>